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amp; Basis" sheetId="1" state="visible" r:id="rId1"/>
    <sheet name="CSI Division Summary Table" sheetId="2" state="visible" r:id="rId2"/>
    <sheet name="Quantity Takeoff" sheetId="3" state="visible" r:id="rId3"/>
    <sheet name="Pricing" sheetId="4" state="visible" r:id="rId4"/>
    <sheet name="Summary" sheetId="5" state="visible" r:id="rId5"/>
  </sheets>
  <definedNames>
    <definedName name="house_w">'Cover &amp; Basis'!$D$12</definedName>
    <definedName name="house_l">'Cover &amp; Basis'!$D$13</definedName>
    <definedName name="footprint_sf">'Cover &amp; Basis'!$D$14</definedName>
    <definedName name="gross_sf">'Cover &amp; Basis'!$D$15</definedName>
    <definedName name="garage_sf">'Cover &amp; Basis'!$D$16</definedName>
    <definedName name="perim_lf">'Cover &amp; Basis'!$D$17</definedName>
    <definedName name="garage_perim_lf">'Cover &amp; Basis'!$D$18</definedName>
    <definedName name="driveway_sf">'Cover &amp; Basis'!$D$19</definedName>
    <definedName name="roof_sf">'Cover &amp; Basis'!$D$20</definedName>
    <definedName name="n_beds">'Cover &amp; Basis'!$D$21</definedName>
    <definedName name="n_baths">'Cover &amp; Basis'!$D$22</definedName>
    <definedName name="n_windows">'Cover &amp; Basis'!$D$23</definedName>
    <definedName name="n_ext_doors">'Cover &amp; Basis'!$D$24</definedName>
    <definedName name="n_int_doors">'Cover &amp; Basis'!$D$25</definedName>
    <definedName name="cab_base_lf">'Cover &amp; Basis'!$D$26</definedName>
    <definedName name="counter_sf">'Cover &amp; Basis'!$D$27</definedName>
    <definedName name="rate_mgmt">'Cover &amp; Basis'!$D$28</definedName>
    <definedName name="rate_earth">'Cover &amp; Basis'!$D$29</definedName>
    <definedName name="rate_conc">'Cover &amp; Basis'!$D$30</definedName>
    <definedName name="rate_carp">'Cover &amp; Basis'!$D$31</definedName>
    <definedName name="rate_fin">'Cover &amp; Basis'!$D$32</definedName>
    <definedName name="rate_mep">'Cover &amp; Basis'!$D$33</definedName>
    <definedName name="tax_rate">'Cover &amp; Basis'!$D$34</definedName>
    <definedName name="oh_pct">'Cover &amp; Basis'!$D$35</definedName>
    <definedName name="profit_pct">'Cover &amp; Basis'!$D$36</definedName>
    <definedName name="contingency_pct">'Cover &amp; Basis'!$D$37</definedName>
    <definedName name="mgmt_hrs">'Quantity Takeoff'!$E$6</definedName>
    <definedName name="mgmt_hrs_w">'Quantity Takeoff'!$H$6</definedName>
    <definedName name="excav_cy">'Quantity Takeoff'!$E$12</definedName>
    <definedName name="excav_cy_w">'Quantity Takeoff'!$H$12</definedName>
    <definedName name="ftg_conc">'Quantity Takeoff'!$E$14</definedName>
    <definedName name="ftg_conc_w">'Quantity Takeoff'!$H$14</definedName>
    <definedName name="wall_conc">'Quantity Takeoff'!$E$15</definedName>
    <definedName name="wall_conc_w">'Quantity Takeoff'!$H$15</definedName>
    <definedName name="slab_conc">'Quantity Takeoff'!$E$17</definedName>
    <definedName name="slab_conc_w">'Quantity Takeoff'!$H$17</definedName>
    <definedName name="_xlnm._FilterDatabase" localSheetId="2" hidden="1">'Quantity Takeoff'!$A$5:$J$55</definedName>
  </definedNames>
  <calcPr calcId="124519" fullCalcOnLoad="1"/>
</workbook>
</file>

<file path=xl/styles.xml><?xml version="1.0" encoding="utf-8"?>
<styleSheet xmlns="http://schemas.openxmlformats.org/spreadsheetml/2006/main">
  <numFmts count="9">
    <numFmt numFmtId="164" formatCode="#,##0.####"/>
    <numFmt numFmtId="165" formatCode="0.0%"/>
    <numFmt numFmtId="166" formatCode="$#,##0"/>
    <numFmt numFmtId="167" formatCode="$0.00"/>
    <numFmt numFmtId="168" formatCode="#,##0.00;(#,##0.00);&quot;-&quot;"/>
    <numFmt numFmtId="169" formatCode="$#,##0.00;($#,##0.00);&quot;-&quot;"/>
    <numFmt numFmtId="170" formatCode="0.0000"/>
    <numFmt numFmtId="171" formatCode="#,##0.0"/>
    <numFmt numFmtId="172" formatCode="$#,##0;($#,##0);&quot;-&quot;"/>
  </numFmts>
  <fonts count="15">
    <font>
      <name val="Calibri"/>
      <family val="2"/>
      <color theme="1"/>
      <sz val="11"/>
      <scheme val="minor"/>
    </font>
    <font>
      <name val="Arial"/>
      <b val="1"/>
      <color rgb="00FF6B35"/>
      <sz val="16"/>
    </font>
    <font>
      <name val="Arial"/>
      <b val="1"/>
      <color rgb="000B132B"/>
      <sz val="12"/>
    </font>
    <font>
      <name val="Arial"/>
      <i val="1"/>
      <color rgb="007A2E0E"/>
      <sz val="8"/>
    </font>
    <font>
      <name val="Arial"/>
      <b val="1"/>
      <sz val="9"/>
    </font>
    <font>
      <name val="Arial"/>
      <sz val="9"/>
    </font>
    <font>
      <name val="Arial"/>
      <b val="1"/>
      <color rgb="00FFFFFF"/>
      <sz val="9"/>
    </font>
    <font>
      <name val="Consolas"/>
      <color rgb="00555555"/>
      <sz val="9"/>
    </font>
    <font>
      <name val="Arial"/>
      <color rgb="000000FF"/>
      <sz val="9"/>
    </font>
    <font>
      <name val="Arial"/>
      <color rgb="00555555"/>
      <sz val="8"/>
    </font>
    <font>
      <name val="Consolas"/>
      <color rgb="00444444"/>
      <sz val="8"/>
    </font>
    <font>
      <name val="Arial"/>
      <sz val="8"/>
    </font>
    <font>
      <name val="Arial"/>
      <color rgb="00008000"/>
      <sz val="9"/>
    </font>
    <font>
      <name val="Arial"/>
      <i val="1"/>
      <color rgb="00555555"/>
      <sz val="8"/>
    </font>
    <font>
      <name val="Arial"/>
      <i val="1"/>
      <sz val="8"/>
    </font>
  </fonts>
  <fills count="5">
    <fill>
      <patternFill/>
    </fill>
    <fill>
      <patternFill patternType="gray125"/>
    </fill>
    <fill>
      <patternFill patternType="solid">
        <fgColor rgb="00FFF5F0"/>
      </patternFill>
    </fill>
    <fill>
      <patternFill patternType="solid">
        <fgColor rgb="000B132B"/>
      </patternFill>
    </fill>
    <fill>
      <patternFill patternType="solid">
        <fgColor rgb="00FFE3D6"/>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5" fillId="0" borderId="0" applyAlignment="1" pivotButton="0" quotePrefix="0" xfId="0">
      <alignment vertical="top" wrapText="1"/>
    </xf>
    <xf numFmtId="0" fontId="6" fillId="3" borderId="1" applyAlignment="1" pivotButton="0" quotePrefix="0" xfId="0">
      <alignment vertical="center" wrapText="1"/>
    </xf>
    <xf numFmtId="0" fontId="5" fillId="0" borderId="1" pivotButton="0" quotePrefix="0" xfId="0"/>
    <xf numFmtId="0" fontId="7" fillId="0" borderId="1" pivotButton="0" quotePrefix="0" xfId="0"/>
    <xf numFmtId="164" fontId="8" fillId="0" borderId="1" pivotButton="0" quotePrefix="0" xfId="0"/>
    <xf numFmtId="0" fontId="5" fillId="0" borderId="1" applyAlignment="1" pivotButton="0" quotePrefix="0" xfId="0">
      <alignment vertical="top" wrapText="1"/>
    </xf>
    <xf numFmtId="164" fontId="5" fillId="0" borderId="1" pivotButton="0" quotePrefix="0" xfId="0"/>
    <xf numFmtId="165" fontId="8" fillId="0" borderId="1" pivotButton="0" quotePrefix="0" xfId="0"/>
    <xf numFmtId="0" fontId="9" fillId="0" borderId="0" applyAlignment="1" pivotButton="0" quotePrefix="0" xfId="0">
      <alignment vertical="top" wrapText="1"/>
    </xf>
    <xf numFmtId="166" fontId="8" fillId="0" borderId="1" pivotButton="0" quotePrefix="0" xfId="0"/>
    <xf numFmtId="167" fontId="8" fillId="0" borderId="1" pivotButton="0" quotePrefix="0" xfId="0"/>
    <xf numFmtId="0" fontId="4" fillId="4" borderId="0" pivotButton="0" quotePrefix="0" xfId="0"/>
    <xf numFmtId="166" fontId="4" fillId="4" borderId="0" pivotButton="0" quotePrefix="0" xfId="0"/>
    <xf numFmtId="0" fontId="9" fillId="0" borderId="0" pivotButton="0" quotePrefix="0" xfId="0"/>
    <xf numFmtId="168" fontId="5" fillId="0" borderId="1" pivotButton="0" quotePrefix="0" xfId="0"/>
    <xf numFmtId="168" fontId="4" fillId="0" borderId="1" pivotButton="0" quotePrefix="0" xfId="0"/>
    <xf numFmtId="0" fontId="10" fillId="0" borderId="1" applyAlignment="1" pivotButton="0" quotePrefix="0" xfId="0">
      <alignment vertical="top" wrapText="1"/>
    </xf>
    <xf numFmtId="0" fontId="11" fillId="0" borderId="1" applyAlignment="1" pivotButton="0" quotePrefix="0" xfId="0">
      <alignment vertical="top" wrapText="1"/>
    </xf>
    <xf numFmtId="168" fontId="12" fillId="0" borderId="1" pivotButton="0" quotePrefix="0" xfId="0"/>
    <xf numFmtId="169" fontId="8" fillId="0" borderId="1" pivotButton="0" quotePrefix="0" xfId="0"/>
    <xf numFmtId="169" fontId="5" fillId="0" borderId="1" pivotButton="0" quotePrefix="0" xfId="0"/>
    <xf numFmtId="170" fontId="8" fillId="0" borderId="1" pivotButton="0" quotePrefix="0" xfId="0"/>
    <xf numFmtId="171" fontId="5" fillId="0" borderId="1" pivotButton="0" quotePrefix="0" xfId="0"/>
    <xf numFmtId="169" fontId="12" fillId="0" borderId="1" pivotButton="0" quotePrefix="0" xfId="0"/>
    <xf numFmtId="169" fontId="4" fillId="0" borderId="1" pivotButton="0" quotePrefix="0" xfId="0"/>
    <xf numFmtId="169" fontId="4" fillId="4" borderId="0" pivotButton="0" quotePrefix="0" xfId="0"/>
    <xf numFmtId="171" fontId="4" fillId="4" borderId="0" pivotButton="0" quotePrefix="0" xfId="0"/>
    <xf numFmtId="0" fontId="13" fillId="0" borderId="0" pivotButton="0" quotePrefix="0" xfId="0"/>
    <xf numFmtId="165" fontId="12" fillId="0" borderId="0" pivotButton="0" quotePrefix="0" xfId="0"/>
    <xf numFmtId="169" fontId="5" fillId="0" borderId="0" pivotButton="0" quotePrefix="0" xfId="0"/>
    <xf numFmtId="172" fontId="4" fillId="4" borderId="0" pivotButton="0" quotePrefix="0" xfId="0"/>
    <xf numFmtId="0" fontId="1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4" topLeftCell="A5" activePane="bottomLeft" state="frozen"/>
      <selection pane="bottomLeft" activeCell="A1" sqref="A1"/>
    </sheetView>
  </sheetViews>
  <sheetFormatPr baseColWidth="8" defaultRowHeight="15"/>
  <cols>
    <col width="18" customWidth="1" min="1" max="1"/>
    <col width="44" customWidth="1" min="2" max="2"/>
    <col width="22" customWidth="1" min="3" max="3"/>
    <col width="14" customWidth="1" min="4" max="4"/>
    <col width="10" customWidth="1" min="5" max="5"/>
    <col width="60" customWidth="1" min="6" max="6"/>
  </cols>
  <sheetData>
    <row r="1">
      <c r="A1" s="1" t="inlineStr">
        <is>
          <t>F&amp;K Estimatings</t>
        </is>
      </c>
    </row>
    <row r="2">
      <c r="A2" s="2" t="inlineStr">
        <is>
          <t>Residential Construction Estimate Sample — Cover &amp; Basis</t>
        </is>
      </c>
    </row>
    <row r="3" ht="36" customHeight="1">
      <c r="A3" s="3" t="inlineStr">
        <is>
          <t>Sample deliverable — prepared on a representative project to show format and level of detail. Not a client project. Quantities are computed from the sample project dimensions stated below; unit costs are illustrative (pricing basis: September 2026, national average, not a quote).</t>
        </is>
      </c>
    </row>
    <row r="5">
      <c r="A5" s="4" t="inlineStr">
        <is>
          <t>Project</t>
        </is>
      </c>
      <c r="B5" s="4" t="inlineStr">
        <is>
          <t>Representative sample project: 2,400 SF 2-story custom home (30' x 40' footprint)</t>
        </is>
      </c>
    </row>
    <row r="6">
      <c r="A6" s="4" t="inlineStr">
        <is>
          <t>Trade / CSI</t>
        </is>
      </c>
      <c r="B6" s="5" t="inlineStr">
        <is>
          <t>Residential General Estimating — MasterFormat CSI 01-33</t>
        </is>
      </c>
    </row>
    <row r="7" ht="60" customHeight="1">
      <c r="A7" s="4" t="inlineStr">
        <is>
          <t>Description</t>
        </is>
      </c>
      <c r="B7" s="6" t="inlineStr">
        <is>
          <t>Complete whole-house preconstruction cost estimate for a 2,400 SF two-story custom single-family residence (30' x 40' footprint, 4 bedrooms, 2.5 baths, 2-car attached garage). Organized in standard MasterFormat CSI divisions, covering site mobilization, excavation, concrete foundation and slabs, rough carpentry and trusses, exterior envelope, windows and doors, interior finishes, cabinetry, full MEP (plumbing, HVAC, electrical), site concrete, and contractor indirect costs with overhead, profit, and builder contingency.</t>
        </is>
      </c>
    </row>
    <row r="8">
      <c r="A8" s="4" t="inlineStr">
        <is>
          <t>Prepared by</t>
        </is>
      </c>
      <c r="B8" s="5" t="inlineStr">
        <is>
          <t>F&amp;K Estimatings (fandkestimatings.us) — sample for format illustration only</t>
        </is>
      </c>
    </row>
    <row r="10">
      <c r="A10" s="2" t="inlineStr">
        <is>
          <t>ASSUMPTIONS &amp; BASIS — blue values are inputs; change one and the workbook recalculates</t>
        </is>
      </c>
    </row>
    <row r="11" ht="26" customHeight="1">
      <c r="A11" s="7" t="inlineStr">
        <is>
          <t>Section</t>
        </is>
      </c>
      <c r="B11" s="7" t="inlineStr">
        <is>
          <t>Parameter</t>
        </is>
      </c>
      <c r="C11" s="7" t="inlineStr">
        <is>
          <t>Name used in formulas</t>
        </is>
      </c>
      <c r="D11" s="7" t="inlineStr">
        <is>
          <t>Value</t>
        </is>
      </c>
      <c r="E11" s="7" t="inlineStr">
        <is>
          <t>Unit</t>
        </is>
      </c>
      <c r="F11" s="7" t="inlineStr">
        <is>
          <t>Note / basis</t>
        </is>
      </c>
    </row>
    <row r="12">
      <c r="A12" s="8" t="inlineStr">
        <is>
          <t>Project</t>
        </is>
      </c>
      <c r="B12" s="8" t="inlineStr">
        <is>
          <t>Building footprint width</t>
        </is>
      </c>
      <c r="C12" s="9" t="inlineStr">
        <is>
          <t>house_w</t>
        </is>
      </c>
      <c r="D12" s="10" t="n">
        <v>30</v>
      </c>
      <c r="E12" s="8" t="inlineStr">
        <is>
          <t>ft</t>
        </is>
      </c>
      <c r="F12" s="11" t="inlineStr">
        <is>
          <t>East-west footprint dimension</t>
        </is>
      </c>
    </row>
    <row r="13">
      <c r="A13" s="8" t="inlineStr">
        <is>
          <t>Project</t>
        </is>
      </c>
      <c r="B13" s="8" t="inlineStr">
        <is>
          <t>Building footprint length</t>
        </is>
      </c>
      <c r="C13" s="9" t="inlineStr">
        <is>
          <t>house_l</t>
        </is>
      </c>
      <c r="D13" s="10" t="n">
        <v>40</v>
      </c>
      <c r="E13" s="8" t="inlineStr">
        <is>
          <t>ft</t>
        </is>
      </c>
      <c r="F13" s="11" t="inlineStr">
        <is>
          <t>North-south footprint dimension</t>
        </is>
      </c>
    </row>
    <row r="14">
      <c r="A14" s="8" t="inlineStr">
        <is>
          <t>Project</t>
        </is>
      </c>
      <c r="B14" s="8" t="inlineStr">
        <is>
          <t>First floor footprint area</t>
        </is>
      </c>
      <c r="C14" s="9" t="inlineStr">
        <is>
          <t>footprint_sf</t>
        </is>
      </c>
      <c r="D14" s="12">
        <f>house_w*house_l</f>
        <v>1200.0</v>
      </c>
      <c r="E14" s="8" t="inlineStr">
        <is>
          <t>SF</t>
        </is>
      </c>
      <c r="F14" s="11" t="inlineStr">
        <is>
          <t>1,200 SF main level</t>
        </is>
      </c>
    </row>
    <row r="15">
      <c r="A15" s="8" t="inlineStr">
        <is>
          <t>Project</t>
        </is>
      </c>
      <c r="B15" s="8" t="inlineStr">
        <is>
          <t>Total finished living area (2 stories)</t>
        </is>
      </c>
      <c r="C15" s="9" t="inlineStr">
        <is>
          <t>gross_sf</t>
        </is>
      </c>
      <c r="D15" s="10" t="n">
        <v>2400</v>
      </c>
      <c r="E15" s="8" t="inlineStr">
        <is>
          <t>SF</t>
        </is>
      </c>
      <c r="F15" s="11" t="inlineStr">
        <is>
          <t>2,400 SF finished area</t>
        </is>
      </c>
    </row>
    <row r="16">
      <c r="A16" s="8" t="inlineStr">
        <is>
          <t>Project</t>
        </is>
      </c>
      <c r="B16" s="8" t="inlineStr">
        <is>
          <t>Attached 2-car garage area</t>
        </is>
      </c>
      <c r="C16" s="9" t="inlineStr">
        <is>
          <t>garage_sf</t>
        </is>
      </c>
      <c r="D16" s="10" t="n">
        <v>440</v>
      </c>
      <c r="E16" s="8" t="inlineStr">
        <is>
          <t>SF</t>
        </is>
      </c>
      <c r="F16" s="11" t="inlineStr">
        <is>
          <t>20' x 22' slab on grade</t>
        </is>
      </c>
    </row>
    <row r="17">
      <c r="A17" s="8" t="inlineStr">
        <is>
          <t>Project</t>
        </is>
      </c>
      <c r="B17" s="8" t="inlineStr">
        <is>
          <t>Main house foundation perimeter</t>
        </is>
      </c>
      <c r="C17" s="9" t="inlineStr">
        <is>
          <t>perim_lf</t>
        </is>
      </c>
      <c r="D17" s="12">
        <f>2*(house_w+house_l)</f>
        <v>140.0</v>
      </c>
      <c r="E17" s="8" t="inlineStr">
        <is>
          <t>LF</t>
        </is>
      </c>
      <c r="F17" s="11" t="inlineStr">
        <is>
          <t>140 LF perimeter</t>
        </is>
      </c>
    </row>
    <row r="18">
      <c r="A18" s="8" t="inlineStr">
        <is>
          <t>Project</t>
        </is>
      </c>
      <c r="B18" s="8" t="inlineStr">
        <is>
          <t>Garage perimeter (outside walls)</t>
        </is>
      </c>
      <c r="C18" s="9" t="inlineStr">
        <is>
          <t>garage_perim_lf</t>
        </is>
      </c>
      <c r="D18" s="10" t="n">
        <v>62</v>
      </c>
      <c r="E18" s="8" t="inlineStr">
        <is>
          <t>LF</t>
        </is>
      </c>
      <c r="F18" s="11" t="inlineStr">
        <is>
          <t>20' front + 22' side + 20' rear</t>
        </is>
      </c>
    </row>
    <row r="19">
      <c r="A19" s="8" t="inlineStr">
        <is>
          <t>Project</t>
        </is>
      </c>
      <c r="B19" s="8" t="inlineStr">
        <is>
          <t>Concrete driveway &amp; entry walk area</t>
        </is>
      </c>
      <c r="C19" s="9" t="inlineStr">
        <is>
          <t>driveway_sf</t>
        </is>
      </c>
      <c r="D19" s="10" t="n">
        <v>680</v>
      </c>
      <c r="E19" s="8" t="inlineStr">
        <is>
          <t>SF</t>
        </is>
      </c>
      <c r="F19" s="11" t="inlineStr">
        <is>
          <t>20' x 30' drive + 80 SF walk</t>
        </is>
      </c>
    </row>
    <row r="20">
      <c r="A20" s="8" t="inlineStr">
        <is>
          <t>Project</t>
        </is>
      </c>
      <c r="B20" s="8" t="inlineStr">
        <is>
          <t>Total sloped roof area (incl. garage &amp; eaves)</t>
        </is>
      </c>
      <c r="C20" s="9" t="inlineStr">
        <is>
          <t>roof_sf</t>
        </is>
      </c>
      <c r="D20" s="10" t="n">
        <v>2150</v>
      </c>
      <c r="E20" s="8" t="inlineStr">
        <is>
          <t>SF</t>
        </is>
      </c>
      <c r="F20" s="11" t="inlineStr">
        <is>
          <t>Main house + garage roof</t>
        </is>
      </c>
    </row>
    <row r="21">
      <c r="A21" s="8" t="inlineStr">
        <is>
          <t>Quantities</t>
        </is>
      </c>
      <c r="B21" s="8" t="inlineStr">
        <is>
          <t>Bedrooms</t>
        </is>
      </c>
      <c r="C21" s="9" t="inlineStr">
        <is>
          <t>n_beds</t>
        </is>
      </c>
      <c r="D21" s="10" t="n">
        <v>4</v>
      </c>
      <c r="E21" s="8" t="inlineStr">
        <is>
          <t>EA</t>
        </is>
      </c>
      <c r="F21" s="11" t="inlineStr">
        <is>
          <t>4 Bedrooms on 2nd floor</t>
        </is>
      </c>
    </row>
    <row r="22">
      <c r="A22" s="8" t="inlineStr">
        <is>
          <t>Quantities</t>
        </is>
      </c>
      <c r="B22" s="8" t="inlineStr">
        <is>
          <t>Bathrooms</t>
        </is>
      </c>
      <c r="C22" s="9" t="inlineStr">
        <is>
          <t>n_baths</t>
        </is>
      </c>
      <c r="D22" s="10" t="n">
        <v>2.5</v>
      </c>
      <c r="E22" s="8" t="inlineStr">
        <is>
          <t>EA</t>
        </is>
      </c>
      <c r="F22" s="11" t="inlineStr">
        <is>
          <t>Master bath, shared bath, 1st fl powder</t>
        </is>
      </c>
    </row>
    <row r="23">
      <c r="A23" s="8" t="inlineStr">
        <is>
          <t>Quantities</t>
        </is>
      </c>
      <c r="B23" s="8" t="inlineStr">
        <is>
          <t>Insulated windows count</t>
        </is>
      </c>
      <c r="C23" s="9" t="inlineStr">
        <is>
          <t>n_windows</t>
        </is>
      </c>
      <c r="D23" s="10" t="n">
        <v>20</v>
      </c>
      <c r="E23" s="8" t="inlineStr">
        <is>
          <t>EA</t>
        </is>
      </c>
      <c r="F23" s="11" t="inlineStr">
        <is>
          <t>Vinyl double-hung low-E argon</t>
        </is>
      </c>
    </row>
    <row r="24">
      <c r="A24" s="8" t="inlineStr">
        <is>
          <t>Quantities</t>
        </is>
      </c>
      <c r="B24" s="8" t="inlineStr">
        <is>
          <t>Exterior doors (front, patio, service)</t>
        </is>
      </c>
      <c r="C24" s="9" t="inlineStr">
        <is>
          <t>n_ext_doors</t>
        </is>
      </c>
      <c r="D24" s="10" t="n">
        <v>3</v>
      </c>
      <c r="E24" s="8" t="inlineStr">
        <is>
          <t>EA</t>
        </is>
      </c>
      <c r="F24" s="11" t="inlineStr">
        <is>
          <t>Fiberglass front, slider, side</t>
        </is>
      </c>
    </row>
    <row r="25">
      <c r="A25" s="8" t="inlineStr">
        <is>
          <t>Quantities</t>
        </is>
      </c>
      <c r="B25" s="8" t="inlineStr">
        <is>
          <t>Interior prehung doors</t>
        </is>
      </c>
      <c r="C25" s="9" t="inlineStr">
        <is>
          <t>n_int_doors</t>
        </is>
      </c>
      <c r="D25" s="10" t="n">
        <v>16</v>
      </c>
      <c r="E25" s="8" t="inlineStr">
        <is>
          <t>EA</t>
        </is>
      </c>
      <c r="F25" s="11" t="inlineStr">
        <is>
          <t>Bedrooms, closets, baths, pantry</t>
        </is>
      </c>
    </row>
    <row r="26">
      <c r="A26" s="8" t="inlineStr">
        <is>
          <t>Quantities</t>
        </is>
      </c>
      <c r="B26" s="8" t="inlineStr">
        <is>
          <t>Kitchen &amp; vanity base cabinets</t>
        </is>
      </c>
      <c r="C26" s="9" t="inlineStr">
        <is>
          <t>cab_base_lf</t>
        </is>
      </c>
      <c r="D26" s="10" t="n">
        <v>36</v>
      </c>
      <c r="E26" s="8" t="inlineStr">
        <is>
          <t>LF</t>
        </is>
      </c>
      <c r="F26" s="11" t="inlineStr">
        <is>
          <t>Kitchen perimeter + island + vanities</t>
        </is>
      </c>
    </row>
    <row r="27">
      <c r="A27" s="8" t="inlineStr">
        <is>
          <t>Quantities</t>
        </is>
      </c>
      <c r="B27" s="8" t="inlineStr">
        <is>
          <t>Quartz countertops area</t>
        </is>
      </c>
      <c r="C27" s="9" t="inlineStr">
        <is>
          <t>counter_sf</t>
        </is>
      </c>
      <c r="D27" s="10" t="n">
        <v>85</v>
      </c>
      <c r="E27" s="8" t="inlineStr">
        <is>
          <t>SF</t>
        </is>
      </c>
      <c r="F27" s="11" t="inlineStr">
        <is>
          <t>Kitchen island, perimeter, vanity tops</t>
        </is>
      </c>
    </row>
    <row r="28">
      <c r="A28" s="8" t="inlineStr">
        <is>
          <t>Rates</t>
        </is>
      </c>
      <c r="B28" s="8" t="inlineStr">
        <is>
          <t>Project superintendent / manager rate</t>
        </is>
      </c>
      <c r="C28" s="9" t="inlineStr">
        <is>
          <t>rate_mgmt</t>
        </is>
      </c>
      <c r="D28" s="10" t="n">
        <v>95</v>
      </c>
      <c r="E28" s="8" t="inlineStr">
        <is>
          <t>$/hr</t>
        </is>
      </c>
      <c r="F28" s="11" t="inlineStr">
        <is>
          <t>Field management</t>
        </is>
      </c>
    </row>
    <row r="29">
      <c r="A29" s="8" t="inlineStr">
        <is>
          <t>Rates</t>
        </is>
      </c>
      <c r="B29" s="8" t="inlineStr">
        <is>
          <t>Equipment operator burdened rate</t>
        </is>
      </c>
      <c r="C29" s="9" t="inlineStr">
        <is>
          <t>rate_earth</t>
        </is>
      </c>
      <c r="D29" s="10" t="n">
        <v>82</v>
      </c>
      <c r="E29" s="8" t="inlineStr">
        <is>
          <t>$/hr</t>
        </is>
      </c>
      <c r="F29" s="11" t="inlineStr">
        <is>
          <t>Excavator / bobcat</t>
        </is>
      </c>
    </row>
    <row r="30">
      <c r="A30" s="8" t="inlineStr">
        <is>
          <t>Rates</t>
        </is>
      </c>
      <c r="B30" s="8" t="inlineStr">
        <is>
          <t>Concrete crew labor rate</t>
        </is>
      </c>
      <c r="C30" s="9" t="inlineStr">
        <is>
          <t>rate_conc</t>
        </is>
      </c>
      <c r="D30" s="10" t="n">
        <v>70</v>
      </c>
      <c r="E30" s="8" t="inlineStr">
        <is>
          <t>$/hr</t>
        </is>
      </c>
      <c r="F30" s="11" t="inlineStr">
        <is>
          <t>Footings, walls, slabs</t>
        </is>
      </c>
    </row>
    <row r="31">
      <c r="A31" s="8" t="inlineStr">
        <is>
          <t>Rates</t>
        </is>
      </c>
      <c r="B31" s="8" t="inlineStr">
        <is>
          <t>Carpentry crew labor rate</t>
        </is>
      </c>
      <c r="C31" s="9" t="inlineStr">
        <is>
          <t>rate_carp</t>
        </is>
      </c>
      <c r="D31" s="10" t="n">
        <v>72</v>
      </c>
      <c r="E31" s="8" t="inlineStr">
        <is>
          <t>$/hr</t>
        </is>
      </c>
      <c r="F31" s="11" t="inlineStr">
        <is>
          <t>Framing &amp; exterior trim</t>
        </is>
      </c>
    </row>
    <row r="32">
      <c r="A32" s="8" t="inlineStr">
        <is>
          <t>Rates</t>
        </is>
      </c>
      <c r="B32" s="8" t="inlineStr">
        <is>
          <t>Interior finishes crew rate (drywall/paint/flooring)</t>
        </is>
      </c>
      <c r="C32" s="9" t="inlineStr">
        <is>
          <t>rate_fin</t>
        </is>
      </c>
      <c r="D32" s="10" t="n">
        <v>68</v>
      </c>
      <c r="E32" s="8" t="inlineStr">
        <is>
          <t>$/hr</t>
        </is>
      </c>
      <c r="F32" s="11" t="inlineStr">
        <is>
          <t>Finishes</t>
        </is>
      </c>
    </row>
    <row r="33">
      <c r="A33" s="8" t="inlineStr">
        <is>
          <t>Rates</t>
        </is>
      </c>
      <c r="B33" s="8" t="inlineStr">
        <is>
          <t>MEP trades average burdened rate (plumb/elec/HVAC)</t>
        </is>
      </c>
      <c r="C33" s="9" t="inlineStr">
        <is>
          <t>rate_mep</t>
        </is>
      </c>
      <c r="D33" s="10" t="n">
        <v>85</v>
      </c>
      <c r="E33" s="8" t="inlineStr">
        <is>
          <t>$/hr</t>
        </is>
      </c>
      <c r="F33" s="11" t="inlineStr">
        <is>
          <t>Licensed trades</t>
        </is>
      </c>
    </row>
    <row r="34">
      <c r="A34" s="8" t="inlineStr">
        <is>
          <t>Markups</t>
        </is>
      </c>
      <c r="B34" s="8" t="inlineStr">
        <is>
          <t>Sales tax on material</t>
        </is>
      </c>
      <c r="C34" s="9" t="inlineStr">
        <is>
          <t>tax_rate</t>
        </is>
      </c>
      <c r="D34" s="13" t="n">
        <v>0.07000000000000001</v>
      </c>
      <c r="E34" s="8" t="inlineStr">
        <is>
          <t>%</t>
        </is>
      </c>
      <c r="F34" s="11" t="inlineStr">
        <is>
          <t>State/local sales tax</t>
        </is>
      </c>
    </row>
    <row r="35">
      <c r="A35" s="8" t="inlineStr">
        <is>
          <t>Markups</t>
        </is>
      </c>
      <c r="B35" s="8" t="inlineStr">
        <is>
          <t>General contractor overhead</t>
        </is>
      </c>
      <c r="C35" s="9" t="inlineStr">
        <is>
          <t>oh_pct</t>
        </is>
      </c>
      <c r="D35" s="13" t="n">
        <v>0.08</v>
      </c>
      <c r="E35" s="8" t="inlineStr">
        <is>
          <t>%</t>
        </is>
      </c>
      <c r="F35" s="11" t="inlineStr">
        <is>
          <t>Company operations, insurance</t>
        </is>
      </c>
    </row>
    <row r="36">
      <c r="A36" s="8" t="inlineStr">
        <is>
          <t>Markups</t>
        </is>
      </c>
      <c r="B36" s="8" t="inlineStr">
        <is>
          <t>Contractor profit</t>
        </is>
      </c>
      <c r="C36" s="9" t="inlineStr">
        <is>
          <t>profit_pct</t>
        </is>
      </c>
      <c r="D36" s="13" t="n">
        <v>0.08</v>
      </c>
      <c r="E36" s="8" t="inlineStr">
        <is>
          <t>%</t>
        </is>
      </c>
      <c r="F36" s="11" t="inlineStr">
        <is>
          <t>Target builder fee</t>
        </is>
      </c>
    </row>
    <row r="37">
      <c r="A37" s="8" t="inlineStr">
        <is>
          <t>Markups</t>
        </is>
      </c>
      <c r="B37" s="8" t="inlineStr">
        <is>
          <t>Builder design &amp; price contingency</t>
        </is>
      </c>
      <c r="C37" s="9" t="inlineStr">
        <is>
          <t>contingency_pct</t>
        </is>
      </c>
      <c r="D37" s="13" t="n">
        <v>0.04</v>
      </c>
      <c r="E37" s="8" t="inlineStr">
        <is>
          <t>%</t>
        </is>
      </c>
      <c r="F37" s="11" t="inlineStr">
        <is>
          <t>Unforeseen field conditions</t>
        </is>
      </c>
    </row>
    <row r="39">
      <c r="A39" s="2" t="inlineStr">
        <is>
          <t>SCOPE INCLUDED</t>
        </is>
      </c>
    </row>
    <row r="40">
      <c r="B40" s="5" t="inlineStr">
        <is>
          <t>• All site mobilization, permits, builder's risk insurance, and supervision</t>
        </is>
      </c>
    </row>
    <row r="41">
      <c r="B41" s="5" t="inlineStr">
        <is>
          <t>• Excavation, footings, frost-depth stem walls, and 4" concrete floor slabs</t>
        </is>
      </c>
    </row>
    <row r="42">
      <c r="B42" s="5" t="inlineStr">
        <is>
          <t>• Complete structural wood framing, engineered floor system, and roof trusses</t>
        </is>
      </c>
    </row>
    <row r="43">
      <c r="B43" s="5" t="inlineStr">
        <is>
          <t>• Exterior weather envelope: architectural shingles, fiber-cement siding, stone veneer</t>
        </is>
      </c>
    </row>
    <row r="44">
      <c r="B44" s="5" t="inlineStr">
        <is>
          <t>• Insulated double-hung windows, fiberglass entry doors, and sectional garage door</t>
        </is>
      </c>
    </row>
    <row r="45">
      <c r="B45" s="5" t="inlineStr">
        <is>
          <t>• R-21 / R-49 insulation, Level 4 drywall, latex paint, hardwood, tile, and carpet</t>
        </is>
      </c>
    </row>
    <row r="46">
      <c r="B46" s="5" t="inlineStr">
        <is>
          <t>• Shaker wood cabinets, quartz countertops, and stainless steel kitchen appliances</t>
        </is>
      </c>
    </row>
    <row r="47">
      <c r="B47" s="5" t="inlineStr">
        <is>
          <t>• Complete plumbing (2.5 baths), 16 SEER heat pump HVAC, and 200 A electrical</t>
        </is>
      </c>
    </row>
    <row r="48">
      <c r="B48" s="5" t="inlineStr">
        <is>
          <t>• Concrete driveway, final grading, seed, water and sewer utility lateral hookups</t>
        </is>
      </c>
    </row>
    <row r="50">
      <c r="A50" s="2" t="inlineStr">
        <is>
          <t>EXCLUSIONS / BY OTHERS</t>
        </is>
      </c>
    </row>
    <row r="51">
      <c r="B51" s="5" t="inlineStr">
        <is>
          <t>• Land acquisition cost, financing fees, and real estate commissions</t>
        </is>
      </c>
    </row>
    <row r="52">
      <c r="B52" s="5" t="inlineStr">
        <is>
          <t>• Rock blasting or contaminated soil remediation (if encountered)</t>
        </is>
      </c>
    </row>
    <row r="53">
      <c r="B53" s="5" t="inlineStr">
        <is>
          <t>• Municipal water/sewer capacity impact tap fees (paid directly by owner)</t>
        </is>
      </c>
    </row>
    <row r="54">
      <c r="B54" s="5" t="inlineStr">
        <is>
          <t>• Swimming pool, detached structures, or perimeter property fencing</t>
        </is>
      </c>
    </row>
    <row r="55">
      <c r="B55" s="5" t="inlineStr">
        <is>
          <t>• Custom window treatments, blinds, draperies, or loose furniture</t>
        </is>
      </c>
    </row>
    <row r="56">
      <c r="B56" s="5" t="inlineStr">
        <is>
          <t>• Landscape irrigation sprinkler system or extensive sodding</t>
        </is>
      </c>
    </row>
    <row r="58">
      <c r="A58" s="2" t="inlineStr">
        <is>
          <t>SAMPLE DRAWING LIST (sheets of the representative sample project, not a real plan set)</t>
        </is>
      </c>
    </row>
    <row r="59">
      <c r="B59" s="5" t="inlineStr">
        <is>
          <t>• A-001 — Cover Sheet, Project Data &amp; CSI Division Index (sample)</t>
        </is>
      </c>
    </row>
    <row r="60">
      <c r="B60" s="5" t="inlineStr">
        <is>
          <t>• A-101 — Site Plan, Building Setbacks &amp; Utility Connections (sample)</t>
        </is>
      </c>
    </row>
    <row r="61">
      <c r="B61" s="5" t="inlineStr">
        <is>
          <t>• A-102 — First Floor Architectural &amp; Room Layout (sample)</t>
        </is>
      </c>
    </row>
    <row r="62">
      <c r="B62" s="5" t="inlineStr">
        <is>
          <t>• A-103 — Second Floor Architectural &amp; Bedroom Layout (sample)</t>
        </is>
      </c>
    </row>
    <row r="63">
      <c r="B63" s="5" t="inlineStr">
        <is>
          <t>• A-201 — Exterior Elevations &amp; Material Callouts (sample)</t>
        </is>
      </c>
    </row>
    <row r="64">
      <c r="B64" s="5" t="inlineStr">
        <is>
          <t>• S-101 — Foundation Plan &amp; Structural Concrete Details (sample)</t>
        </is>
      </c>
    </row>
  </sheetData>
  <mergeCells count="2">
    <mergeCell ref="A3:F3"/>
    <mergeCell ref="B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ySplit="5" topLeftCell="A6" activePane="bottomLeft" state="frozen"/>
      <selection pane="bottomLeft" activeCell="A1" sqref="A1"/>
    </sheetView>
  </sheetViews>
  <sheetFormatPr baseColWidth="8" defaultRowHeight="15"/>
  <cols>
    <col width="10" customWidth="1" min="1" max="1"/>
    <col width="34" customWidth="1" min="2" max="2"/>
    <col width="13" customWidth="1" min="3" max="3"/>
    <col width="10" customWidth="1" min="4" max="4"/>
    <col width="10" customWidth="1" min="5" max="5"/>
  </cols>
  <sheetData>
    <row r="1">
      <c r="A1" s="1" t="inlineStr">
        <is>
          <t>F&amp;K Estimatings</t>
        </is>
      </c>
    </row>
    <row r="2">
      <c r="A2" s="2" t="inlineStr">
        <is>
          <t>Residential Construction Estimate Sample — Whole-house direct construction costs by CSI division</t>
        </is>
      </c>
    </row>
    <row r="3" ht="36" customHeight="1">
      <c r="A3" s="3" t="inlineStr">
        <is>
          <t>Sample deliverable — prepared on a representative project to show format and level of detail. Not a client project. Quantities are computed from the sample project dimensions stated below; unit costs are illustrative (pricing basis: September 2026, national average, not a quote).</t>
        </is>
      </c>
    </row>
    <row r="4" ht="30" customHeight="1">
      <c r="A4" s="14" t="inlineStr">
        <is>
          <t>Budget allocation represents direct costs per division. Contractor overhead, profit, and contingency are applied at the summary level.</t>
        </is>
      </c>
    </row>
    <row r="5" ht="26" customHeight="1">
      <c r="A5" s="7" t="inlineStr">
        <is>
          <t>Division</t>
        </is>
      </c>
      <c r="B5" s="7" t="inlineStr">
        <is>
          <t>CSI Division Title</t>
        </is>
      </c>
      <c r="C5" s="7" t="inlineStr">
        <is>
          <t>Budget Allocation</t>
        </is>
      </c>
      <c r="D5" s="7" t="inlineStr">
        <is>
          <t>Pct of Total</t>
        </is>
      </c>
      <c r="E5" s="7" t="inlineStr">
        <is>
          <t>Cost / SF</t>
        </is>
      </c>
    </row>
    <row r="6">
      <c r="A6" s="8" t="inlineStr">
        <is>
          <t>Div 01</t>
        </is>
      </c>
      <c r="B6" s="8" t="inlineStr">
        <is>
          <t>General Conditions &amp; Site Requirements</t>
        </is>
      </c>
      <c r="C6" s="15" t="n">
        <v>31500</v>
      </c>
      <c r="D6" s="13" t="n">
        <v>0.07099999999999999</v>
      </c>
      <c r="E6" s="16" t="n">
        <v>13.13</v>
      </c>
    </row>
    <row r="7">
      <c r="A7" s="8" t="inlineStr">
        <is>
          <t>Div 02/31</t>
        </is>
      </c>
      <c r="B7" s="8" t="inlineStr">
        <is>
          <t>Site Prep, Excavation &amp; Earthwork</t>
        </is>
      </c>
      <c r="C7" s="15" t="n">
        <v>14200</v>
      </c>
      <c r="D7" s="13" t="n">
        <v>0.032</v>
      </c>
      <c r="E7" s="16" t="n">
        <v>5.92</v>
      </c>
    </row>
    <row r="8">
      <c r="A8" s="8" t="inlineStr">
        <is>
          <t>Div 03</t>
        </is>
      </c>
      <c r="B8" s="8" t="inlineStr">
        <is>
          <t>Concrete Foundation &amp; Slabs</t>
        </is>
      </c>
      <c r="C8" s="15" t="n">
        <v>38400</v>
      </c>
      <c r="D8" s="13" t="n">
        <v>0.08699999999999999</v>
      </c>
      <c r="E8" s="16" t="n">
        <v>16</v>
      </c>
    </row>
    <row r="9">
      <c r="A9" s="8" t="inlineStr">
        <is>
          <t>Div 06</t>
        </is>
      </c>
      <c r="B9" s="8" t="inlineStr">
        <is>
          <t>Wood Framing, Trusses &amp; Subfloor</t>
        </is>
      </c>
      <c r="C9" s="15" t="n">
        <v>68500</v>
      </c>
      <c r="D9" s="13" t="n">
        <v>0.155</v>
      </c>
      <c r="E9" s="16" t="n">
        <v>28.54</v>
      </c>
    </row>
    <row r="10">
      <c r="A10" s="8" t="inlineStr">
        <is>
          <t>Div 07</t>
        </is>
      </c>
      <c r="B10" s="8" t="inlineStr">
        <is>
          <t>Roofing, Siding &amp; Moisture Protection</t>
        </is>
      </c>
      <c r="C10" s="15" t="n">
        <v>42800</v>
      </c>
      <c r="D10" s="13" t="n">
        <v>0.097</v>
      </c>
      <c r="E10" s="16" t="n">
        <v>17.83</v>
      </c>
    </row>
    <row r="11">
      <c r="A11" s="8" t="inlineStr">
        <is>
          <t>Div 08</t>
        </is>
      </c>
      <c r="B11" s="8" t="inlineStr">
        <is>
          <t>Windows, Exterior Doors &amp; Garage Door</t>
        </is>
      </c>
      <c r="C11" s="15" t="n">
        <v>26400</v>
      </c>
      <c r="D11" s="13" t="n">
        <v>0.06</v>
      </c>
      <c r="E11" s="16" t="n">
        <v>11</v>
      </c>
    </row>
    <row r="12">
      <c r="A12" s="8" t="inlineStr">
        <is>
          <t>Div 09</t>
        </is>
      </c>
      <c r="B12" s="8" t="inlineStr">
        <is>
          <t>Drywall, Paint &amp; Interior Flooring</t>
        </is>
      </c>
      <c r="C12" s="15" t="n">
        <v>54600</v>
      </c>
      <c r="D12" s="13" t="n">
        <v>0.123</v>
      </c>
      <c r="E12" s="16" t="n">
        <v>22.75</v>
      </c>
    </row>
    <row r="13">
      <c r="A13" s="8" t="inlineStr">
        <is>
          <t>Div 10-12</t>
        </is>
      </c>
      <c r="B13" s="8" t="inlineStr">
        <is>
          <t>Cabinetry, Countertops, Appliances &amp; Trim</t>
        </is>
      </c>
      <c r="C13" s="15" t="n">
        <v>39200</v>
      </c>
      <c r="D13" s="13" t="n">
        <v>0.089</v>
      </c>
      <c r="E13" s="16" t="n">
        <v>16.33</v>
      </c>
    </row>
    <row r="14">
      <c r="A14" s="8" t="inlineStr">
        <is>
          <t>Div 22</t>
        </is>
      </c>
      <c r="B14" s="8" t="inlineStr">
        <is>
          <t>Plumbing Systems &amp; Fixtures</t>
        </is>
      </c>
      <c r="C14" s="15" t="n">
        <v>29500</v>
      </c>
      <c r="D14" s="13" t="n">
        <v>0.067</v>
      </c>
      <c r="E14" s="16" t="n">
        <v>12.29</v>
      </c>
    </row>
    <row r="15">
      <c r="A15" s="8" t="inlineStr">
        <is>
          <t>Div 23</t>
        </is>
      </c>
      <c r="B15" s="8" t="inlineStr">
        <is>
          <t>HVAC Heat Pump System &amp; Ductwork</t>
        </is>
      </c>
      <c r="C15" s="15" t="n">
        <v>24800</v>
      </c>
      <c r="D15" s="13" t="n">
        <v>0.056</v>
      </c>
      <c r="E15" s="16" t="n">
        <v>10.33</v>
      </c>
    </row>
    <row r="16">
      <c r="A16" s="8" t="inlineStr">
        <is>
          <t>Div 26</t>
        </is>
      </c>
      <c r="B16" s="8" t="inlineStr">
        <is>
          <t>Electrical Service, Wiring &amp; Fixtures</t>
        </is>
      </c>
      <c r="C16" s="15" t="n">
        <v>27800</v>
      </c>
      <c r="D16" s="13" t="n">
        <v>0.063</v>
      </c>
      <c r="E16" s="16" t="n">
        <v>11.58</v>
      </c>
    </row>
    <row r="17">
      <c r="A17" s="8" t="inlineStr">
        <is>
          <t>Div 32/33</t>
        </is>
      </c>
      <c r="B17" s="8" t="inlineStr">
        <is>
          <t>Driveway, Landscaping &amp; Site Utilities</t>
        </is>
      </c>
      <c r="C17" s="15" t="n">
        <v>19600</v>
      </c>
      <c r="D17" s="13" t="n">
        <v>0.044</v>
      </c>
      <c r="E17" s="16" t="n">
        <v>8.17</v>
      </c>
    </row>
    <row r="18">
      <c r="A18" s="17" t="inlineStr">
        <is>
          <t>Totals</t>
        </is>
      </c>
      <c r="C18" s="18">
        <f>SUM(C6:C17)</f>
        <v>417300.0</v>
      </c>
    </row>
  </sheetData>
  <mergeCells count="2">
    <mergeCell ref="A4:E4"/>
    <mergeCell ref="A3:E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55"/>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7" customWidth="1" min="1" max="1"/>
    <col width="11" customWidth="1" min="2" max="2"/>
    <col width="18" customWidth="1" min="3" max="3"/>
    <col width="44" customWidth="1" min="4" max="4"/>
    <col width="12" customWidth="1" min="5" max="5"/>
    <col width="7" customWidth="1" min="6" max="6"/>
    <col width="8" customWidth="1" min="7" max="7"/>
    <col width="13" customWidth="1" min="8" max="8"/>
    <col width="56" customWidth="1" min="9" max="9"/>
    <col width="36" customWidth="1" min="10" max="10"/>
  </cols>
  <sheetData>
    <row r="1">
      <c r="A1" s="1" t="inlineStr">
        <is>
          <t>F&amp;K Estimatings</t>
        </is>
      </c>
    </row>
    <row r="2">
      <c r="A2" s="2" t="inlineStr">
        <is>
          <t>Residential Construction Estimate Sample — Quantity Takeoff</t>
        </is>
      </c>
    </row>
    <row r="3" ht="36" customHeight="1">
      <c r="A3" s="3" t="inlineStr">
        <is>
          <t>Sample deliverable — prepared on a representative project to show format and level of detail. Not a client project. Quantities are computed from the sample project dimensions stated below; unit costs are illustrative (pricing basis: September 2026, national average, not a quote).</t>
        </is>
      </c>
    </row>
    <row r="4">
      <c r="A4" s="19" t="inlineStr">
        <is>
          <t>Qty column holds live formulas that reference the named assumptions on 'Cover &amp; Basis' (and the schedule sheets). Column I shows the same formula in readable form.</t>
        </is>
      </c>
    </row>
    <row r="5" ht="26" customHeight="1">
      <c r="A5" s="7" t="inlineStr">
        <is>
          <t>Item</t>
        </is>
      </c>
      <c r="B5" s="7" t="inlineStr">
        <is>
          <t>CSI</t>
        </is>
      </c>
      <c r="C5" s="7" t="inlineStr">
        <is>
          <t>Group</t>
        </is>
      </c>
      <c r="D5" s="7" t="inlineStr">
        <is>
          <t>Description</t>
        </is>
      </c>
      <c r="E5" s="7" t="inlineStr">
        <is>
          <t>Qty</t>
        </is>
      </c>
      <c r="F5" s="7" t="inlineStr">
        <is>
          <t>Unit</t>
        </is>
      </c>
      <c r="G5" s="7" t="inlineStr">
        <is>
          <t>Waste %</t>
        </is>
      </c>
      <c r="H5" s="7" t="inlineStr">
        <is>
          <t>Qty incl. waste</t>
        </is>
      </c>
      <c r="I5" s="7" t="inlineStr">
        <is>
          <t>Formula / basis</t>
        </is>
      </c>
      <c r="J5" s="7" t="inlineStr">
        <is>
          <t>Notes</t>
        </is>
      </c>
    </row>
    <row r="6">
      <c r="A6" s="8" t="n">
        <v>1</v>
      </c>
      <c r="B6" s="8" t="inlineStr">
        <is>
          <t>01 31 00</t>
        </is>
      </c>
      <c r="C6" s="8" t="inlineStr">
        <is>
          <t>Division 01 - General Conditions</t>
        </is>
      </c>
      <c r="D6" s="11" t="inlineStr">
        <is>
          <t>Project superintendent / preconstruction supervision (16 wks @ 15 hr/wk)</t>
        </is>
      </c>
      <c r="E6" s="20">
        <f>240</f>
        <v>240.0</v>
      </c>
      <c r="F6" s="8" t="inlineStr">
        <is>
          <t>HR</t>
        </is>
      </c>
      <c r="G6" s="13" t="n">
        <v>0</v>
      </c>
      <c r="H6" s="21">
        <f>E6*(1+G6)</f>
        <v>240.0</v>
      </c>
      <c r="I6" s="22" t="inlineStr">
        <is>
          <t>240 (counted / stated)</t>
        </is>
      </c>
      <c r="J6" s="23" t="inlineStr">
        <is>
          <t>Onsite quality control, scheduling, trade coordination</t>
        </is>
      </c>
    </row>
    <row r="7">
      <c r="A7" s="8" t="n">
        <v>2</v>
      </c>
      <c r="B7" s="8" t="inlineStr">
        <is>
          <t>01 51 00</t>
        </is>
      </c>
      <c r="C7" s="8" t="inlineStr">
        <is>
          <t>Division 01 - General Conditions</t>
        </is>
      </c>
      <c r="D7" s="11" t="inlineStr">
        <is>
          <t>Temporary power pole, temp water service &amp; temporary toilet (4 months)</t>
        </is>
      </c>
      <c r="E7" s="20">
        <f>4</f>
        <v>4.0</v>
      </c>
      <c r="F7" s="8" t="inlineStr">
        <is>
          <t>MO</t>
        </is>
      </c>
      <c r="G7" s="13" t="n">
        <v>0</v>
      </c>
      <c r="H7" s="21">
        <f>E7*(1+G7)</f>
        <v>4.0</v>
      </c>
      <c r="I7" s="22" t="inlineStr">
        <is>
          <t>4 (counted / stated)</t>
        </is>
      </c>
      <c r="J7" s="23" t="inlineStr">
        <is>
          <t>Monthly rental and maintenance</t>
        </is>
      </c>
    </row>
    <row r="8">
      <c r="A8" s="8" t="n">
        <v>3</v>
      </c>
      <c r="B8" s="8" t="inlineStr">
        <is>
          <t>01 74 19</t>
        </is>
      </c>
      <c r="C8" s="8" t="inlineStr">
        <is>
          <t>Division 01 - General Conditions</t>
        </is>
      </c>
      <c r="D8" s="11" t="inlineStr">
        <is>
          <t>Construction waste dumpsters (30 CY roll-off boxes, incl. tipping fees)</t>
        </is>
      </c>
      <c r="E8" s="20">
        <f>5</f>
        <v>5.0</v>
      </c>
      <c r="F8" s="8" t="inlineStr">
        <is>
          <t>EA</t>
        </is>
      </c>
      <c r="G8" s="13" t="n">
        <v>0</v>
      </c>
      <c r="H8" s="21">
        <f>E8*(1+G8)</f>
        <v>5.0</v>
      </c>
      <c r="I8" s="22" t="inlineStr">
        <is>
          <t>5 (counted / stated)</t>
        </is>
      </c>
      <c r="J8" s="23" t="inlineStr">
        <is>
          <t>5 pulls across project milestones</t>
        </is>
      </c>
    </row>
    <row r="9">
      <c r="A9" s="8" t="n">
        <v>4</v>
      </c>
      <c r="B9" s="8" t="inlineStr">
        <is>
          <t>01 35 23</t>
        </is>
      </c>
      <c r="C9" s="8" t="inlineStr">
        <is>
          <t>Division 01 - General Conditions</t>
        </is>
      </c>
      <c r="D9" s="11" t="inlineStr">
        <is>
          <t>Builder's risk insurance, plan review fees &amp; municipal building permits</t>
        </is>
      </c>
      <c r="E9" s="20">
        <f>1</f>
        <v>1.0</v>
      </c>
      <c r="F9" s="8" t="inlineStr">
        <is>
          <t>LS</t>
        </is>
      </c>
      <c r="G9" s="13" t="n">
        <v>0</v>
      </c>
      <c r="H9" s="21">
        <f>E9*(1+G9)</f>
        <v>1.0</v>
      </c>
      <c r="I9" s="22" t="inlineStr">
        <is>
          <t>1 (counted / stated)</t>
        </is>
      </c>
      <c r="J9" s="23" t="inlineStr">
        <is>
          <t>Statutory permits and risk coverage</t>
        </is>
      </c>
    </row>
    <row r="10">
      <c r="A10" s="8" t="n">
        <v>5</v>
      </c>
      <c r="B10" s="8" t="inlineStr">
        <is>
          <t>01 74 00</t>
        </is>
      </c>
      <c r="C10" s="8" t="inlineStr">
        <is>
          <t>Division 01 - General Conditions</t>
        </is>
      </c>
      <c r="D10" s="11" t="inlineStr">
        <is>
          <t>Final construction detailing, deep cleaning &amp; window washing</t>
        </is>
      </c>
      <c r="E10" s="20">
        <f>2400</f>
        <v>2400.0</v>
      </c>
      <c r="F10" s="8" t="inlineStr">
        <is>
          <t>SF</t>
        </is>
      </c>
      <c r="G10" s="13" t="n">
        <v>0</v>
      </c>
      <c r="H10" s="21">
        <f>E10*(1+G10)</f>
        <v>2400.0</v>
      </c>
      <c r="I10" s="22" t="inlineStr">
        <is>
          <t>2400 (counted / stated)</t>
        </is>
      </c>
      <c r="J10" s="23" t="inlineStr">
        <is>
          <t>Move-in turnkey clean</t>
        </is>
      </c>
    </row>
    <row r="11">
      <c r="A11" s="8" t="n">
        <v>6</v>
      </c>
      <c r="B11" s="8" t="inlineStr">
        <is>
          <t>31 10 00</t>
        </is>
      </c>
      <c r="C11" s="8" t="inlineStr">
        <is>
          <t>Division 02 &amp; 31 - Earthwork &amp; Site Clearing</t>
        </is>
      </c>
      <c r="D11" s="11" t="inlineStr">
        <is>
          <t>Site clearing, tree protection, construction entrance &amp; silt fence</t>
        </is>
      </c>
      <c r="E11" s="20">
        <f>1</f>
        <v>1.0</v>
      </c>
      <c r="F11" s="8" t="inlineStr">
        <is>
          <t>LS</t>
        </is>
      </c>
      <c r="G11" s="13" t="n">
        <v>0</v>
      </c>
      <c r="H11" s="21">
        <f>E11*(1+G11)</f>
        <v>1.0</v>
      </c>
      <c r="I11" s="22" t="inlineStr">
        <is>
          <t>1 (counted / stated)</t>
        </is>
      </c>
      <c r="J11" s="23" t="inlineStr">
        <is>
          <t>Erosion control per SWPPP</t>
        </is>
      </c>
    </row>
    <row r="12">
      <c r="A12" s="8" t="n">
        <v>7</v>
      </c>
      <c r="B12" s="8" t="inlineStr">
        <is>
          <t>31 23 16</t>
        </is>
      </c>
      <c r="C12" s="8" t="inlineStr">
        <is>
          <t>Division 02 &amp; 31 - Earthwork &amp; Site Clearing</t>
        </is>
      </c>
      <c r="D12" s="11" t="inlineStr">
        <is>
          <t>Basement / crawlspace foundation excavation &amp; stockpile</t>
        </is>
      </c>
      <c r="E12" s="20">
        <f>footprint_sf*4/27</f>
        <v>177.77777777777777</v>
      </c>
      <c r="F12" s="8" t="inlineStr">
        <is>
          <t>CY</t>
        </is>
      </c>
      <c r="G12" s="13" t="n">
        <v>0.1</v>
      </c>
      <c r="H12" s="21">
        <f>E12*(1+G12)</f>
        <v>195.55555555555557</v>
      </c>
      <c r="I12" s="22" t="inlineStr">
        <is>
          <t>footprint_sf × 4/27</t>
        </is>
      </c>
      <c r="J12" s="23" t="inlineStr">
        <is>
          <t>Excavator with operator</t>
        </is>
      </c>
    </row>
    <row r="13">
      <c r="A13" s="8" t="n">
        <v>8</v>
      </c>
      <c r="B13" s="8" t="inlineStr">
        <is>
          <t>31 23 23</t>
        </is>
      </c>
      <c r="C13" s="8" t="inlineStr">
        <is>
          <t>Division 02 &amp; 31 - Earthwork &amp; Site Clearing</t>
        </is>
      </c>
      <c r="D13" s="11" t="inlineStr">
        <is>
          <t>Foundation backfill with onsite spoils &amp; rough site grading</t>
        </is>
      </c>
      <c r="E13" s="20">
        <f>excav_cy*0.65</f>
        <v>115.55555555555556</v>
      </c>
      <c r="F13" s="8" t="inlineStr">
        <is>
          <t>CY</t>
        </is>
      </c>
      <c r="G13" s="13" t="n">
        <v>0</v>
      </c>
      <c r="H13" s="21">
        <f>E13*(1+G13)</f>
        <v>115.55555555555556</v>
      </c>
      <c r="I13" s="22" t="inlineStr">
        <is>
          <t>excav_cy × 0.65</t>
        </is>
      </c>
      <c r="J13" s="23" t="inlineStr">
        <is>
          <t>Compacted lifts around perimeter</t>
        </is>
      </c>
    </row>
    <row r="14">
      <c r="A14" s="8" t="n">
        <v>9</v>
      </c>
      <c r="B14" s="8" t="inlineStr">
        <is>
          <t>03 30 00</t>
        </is>
      </c>
      <c r="C14" s="8" t="inlineStr">
        <is>
          <t>Division 03 - Concrete Foundation &amp; Slabs</t>
        </is>
      </c>
      <c r="D14" s="11" t="inlineStr">
        <is>
          <t>Continuous footings 24" x 12" w/ 3 #5 rebar (3,000 psi concrete)</t>
        </is>
      </c>
      <c r="E14" s="20">
        <f>(perim_lf+garage_perim_lf)*2*1/27</f>
        <v>14.962962962962964</v>
      </c>
      <c r="F14" s="8" t="inlineStr">
        <is>
          <t>CY</t>
        </is>
      </c>
      <c r="G14" s="13" t="n">
        <v>0.05</v>
      </c>
      <c r="H14" s="21">
        <f>E14*(1+G14)</f>
        <v>15.711111111111112</v>
      </c>
      <c r="I14" s="22" t="inlineStr">
        <is>
          <t>(perim_lf+garage_perim_lf) × 2 × 1/27</t>
        </is>
      </c>
      <c r="J14" s="23" t="inlineStr">
        <is>
          <t>Formed and poured continuous footing</t>
        </is>
      </c>
    </row>
    <row r="15">
      <c r="A15" s="8" t="n">
        <v>10</v>
      </c>
      <c r="B15" s="8" t="inlineStr">
        <is>
          <t>03 30 00</t>
        </is>
      </c>
      <c r="C15" s="8" t="inlineStr">
        <is>
          <t>Division 03 - Concrete Foundation &amp; Slabs</t>
        </is>
      </c>
      <c r="D15" s="11" t="inlineStr">
        <is>
          <t>8" Concrete stem wall / foundation wall 4'-0" frost depth</t>
        </is>
      </c>
      <c r="E15" s="20">
        <f>(perim_lf+garage_perim_lf)*0.67*4/27</f>
        <v>20.05037037037037</v>
      </c>
      <c r="F15" s="8" t="inlineStr">
        <is>
          <t>CY</t>
        </is>
      </c>
      <c r="G15" s="13" t="n">
        <v>0.05</v>
      </c>
      <c r="H15" s="21">
        <f>E15*(1+G15)</f>
        <v>21.05288888888889</v>
      </c>
      <c r="I15" s="22" t="inlineStr">
        <is>
          <t>(perim_lf+garage_perim_lf) × 0.67 × 4/27</t>
        </is>
      </c>
      <c r="J15" s="23" t="inlineStr">
        <is>
          <t>Includes gang forming, ties, stripped &amp; rubbed</t>
        </is>
      </c>
    </row>
    <row r="16">
      <c r="A16" s="8" t="n">
        <v>11</v>
      </c>
      <c r="B16" s="8" t="inlineStr">
        <is>
          <t>03 21 00</t>
        </is>
      </c>
      <c r="C16" s="8" t="inlineStr">
        <is>
          <t>Division 03 - Concrete Foundation &amp; Slabs</t>
        </is>
      </c>
      <c r="D16" s="11" t="inlineStr">
        <is>
          <t>Foundation reinforcing steel (#4 &amp; #5 rebar, dowels, laps)</t>
        </is>
      </c>
      <c r="E16" s="20">
        <f>3400</f>
        <v>3400.0</v>
      </c>
      <c r="F16" s="8" t="inlineStr">
        <is>
          <t>LB</t>
        </is>
      </c>
      <c r="G16" s="13" t="n">
        <v>0.05</v>
      </c>
      <c r="H16" s="21">
        <f>E16*(1+G16)</f>
        <v>3570.0</v>
      </c>
      <c r="I16" s="22" t="inlineStr">
        <is>
          <t>3400 (counted / stated)</t>
        </is>
      </c>
      <c r="J16" s="23" t="inlineStr">
        <is>
          <t>Grade 60 deformed rebar</t>
        </is>
      </c>
    </row>
    <row r="17">
      <c r="A17" s="8" t="n">
        <v>12</v>
      </c>
      <c r="B17" s="8" t="inlineStr">
        <is>
          <t>03 30 00</t>
        </is>
      </c>
      <c r="C17" s="8" t="inlineStr">
        <is>
          <t>Division 03 - Concrete Foundation &amp; Slabs</t>
        </is>
      </c>
      <c r="D17" s="11" t="inlineStr">
        <is>
          <t>4" Concrete floor slabs (basement &amp; garage, 3,500 psi w/ WWM)</t>
        </is>
      </c>
      <c r="E17" s="20">
        <f>(footprint_sf+garage_sf)*0.33/27</f>
        <v>20.044444444444448</v>
      </c>
      <c r="F17" s="8" t="inlineStr">
        <is>
          <t>CY</t>
        </is>
      </c>
      <c r="G17" s="13" t="n">
        <v>0.08</v>
      </c>
      <c r="H17" s="21">
        <f>E17*(1+G17)</f>
        <v>21.648000000000007</v>
      </c>
      <c r="I17" s="22" t="inlineStr">
        <is>
          <t>(footprint_sf+garage_sf) × 0.33/27</t>
        </is>
      </c>
      <c r="J17" s="23" t="inlineStr">
        <is>
          <t>Float and smooth trowel finish</t>
        </is>
      </c>
    </row>
    <row r="18">
      <c r="A18" s="8" t="n">
        <v>13</v>
      </c>
      <c r="B18" s="8" t="inlineStr">
        <is>
          <t>31 23 23</t>
        </is>
      </c>
      <c r="C18" s="8" t="inlineStr">
        <is>
          <t>Division 03 - Concrete Foundation &amp; Slabs</t>
        </is>
      </c>
      <c r="D18" s="11" t="inlineStr">
        <is>
          <t>4" Crushed stone capillary base &amp; 15-mil poly vapor barrier</t>
        </is>
      </c>
      <c r="E18" s="20">
        <f>footprint_sf+garage_sf</f>
        <v>1640.0</v>
      </c>
      <c r="F18" s="8" t="inlineStr">
        <is>
          <t>SF</t>
        </is>
      </c>
      <c r="G18" s="13" t="n">
        <v>0.1</v>
      </c>
      <c r="H18" s="21">
        <f>E18*(1+G18)</f>
        <v>1804.0000000000002</v>
      </c>
      <c r="I18" s="22" t="inlineStr">
        <is>
          <t>footprint_sf+garage_sf</t>
        </is>
      </c>
      <c r="J18" s="23" t="inlineStr">
        <is>
          <t>Compacted crushed stone base</t>
        </is>
      </c>
    </row>
    <row r="19">
      <c r="A19" s="8" t="n">
        <v>14</v>
      </c>
      <c r="B19" s="8" t="inlineStr">
        <is>
          <t>06 11 00</t>
        </is>
      </c>
      <c r="C19" s="8" t="inlineStr">
        <is>
          <t>Division 06 - Rough Framing &amp; Trusses</t>
        </is>
      </c>
      <c r="D19" s="11" t="inlineStr">
        <is>
          <t>Treated sill plates, anchor bolts &amp; 1st floor exterior/interior framing</t>
        </is>
      </c>
      <c r="E19" s="20">
        <f>1200.0</f>
        <v>1200.0</v>
      </c>
      <c r="F19" s="8" t="inlineStr">
        <is>
          <t>SF</t>
        </is>
      </c>
      <c r="G19" s="13" t="n">
        <v>0.05</v>
      </c>
      <c r="H19" s="21">
        <f>E19*(1+G19)</f>
        <v>1260.0</v>
      </c>
      <c r="I19" s="22" t="inlineStr">
        <is>
          <t>1200 (counted / stated)</t>
        </is>
      </c>
      <c r="J19" s="23" t="inlineStr">
        <is>
          <t>2x6 exterior walls, 2x4 interior partitions, headers</t>
        </is>
      </c>
    </row>
    <row r="20">
      <c r="A20" s="8" t="n">
        <v>15</v>
      </c>
      <c r="B20" s="8" t="inlineStr">
        <is>
          <t>06 17 33</t>
        </is>
      </c>
      <c r="C20" s="8" t="inlineStr">
        <is>
          <t>Division 06 - Rough Framing &amp; Trusses</t>
        </is>
      </c>
      <c r="D20" s="11" t="inlineStr">
        <is>
          <t>2nd Floor engineered I-joist system with 3/4" T&amp;G subfloor glued/screwed</t>
        </is>
      </c>
      <c r="E20" s="20">
        <f>1200.0</f>
        <v>1200.0</v>
      </c>
      <c r="F20" s="8" t="inlineStr">
        <is>
          <t>SF</t>
        </is>
      </c>
      <c r="G20" s="13" t="n">
        <v>0.05</v>
      </c>
      <c r="H20" s="21">
        <f>E20*(1+G20)</f>
        <v>1260.0</v>
      </c>
      <c r="I20" s="22" t="inlineStr">
        <is>
          <t>1200 (counted / stated)</t>
        </is>
      </c>
      <c r="J20" s="23" t="inlineStr">
        <is>
          <t>11-7/8" I-joists, LVL girder, rim board, subfloor</t>
        </is>
      </c>
    </row>
    <row r="21">
      <c r="A21" s="8" t="n">
        <v>16</v>
      </c>
      <c r="B21" s="8" t="inlineStr">
        <is>
          <t>06 11 00</t>
        </is>
      </c>
      <c r="C21" s="8" t="inlineStr">
        <is>
          <t>Division 06 - Rough Framing &amp; Trusses</t>
        </is>
      </c>
      <c r="D21" s="11" t="inlineStr">
        <is>
          <t>2nd Floor wall framing (2x6 ext, 2x4 int, double top plates)</t>
        </is>
      </c>
      <c r="E21" s="20">
        <f>1200.0</f>
        <v>1200.0</v>
      </c>
      <c r="F21" s="8" t="inlineStr">
        <is>
          <t>SF</t>
        </is>
      </c>
      <c r="G21" s="13" t="n">
        <v>0.05</v>
      </c>
      <c r="H21" s="21">
        <f>E21*(1+G21)</f>
        <v>1260.0</v>
      </c>
      <c r="I21" s="22" t="inlineStr">
        <is>
          <t>1200 (counted / stated)</t>
        </is>
      </c>
      <c r="J21" s="23" t="inlineStr">
        <is>
          <t>Studs, plates, window/door headers</t>
        </is>
      </c>
    </row>
    <row r="22">
      <c r="A22" s="8" t="n">
        <v>17</v>
      </c>
      <c r="B22" s="8" t="inlineStr">
        <is>
          <t>06 17 53</t>
        </is>
      </c>
      <c r="C22" s="8" t="inlineStr">
        <is>
          <t>Division 06 - Rough Framing &amp; Trusses</t>
        </is>
      </c>
      <c r="D22" s="11" t="inlineStr">
        <is>
          <t>Engineered roof trusses (6:12 pitch), crane set, bracing &amp; fascia</t>
        </is>
      </c>
      <c r="E22" s="20">
        <f>roof_sf</f>
        <v>2150.0</v>
      </c>
      <c r="F22" s="8" t="inlineStr">
        <is>
          <t>SF</t>
        </is>
      </c>
      <c r="G22" s="13" t="n">
        <v>0.05</v>
      </c>
      <c r="H22" s="21">
        <f>E22*(1+G22)</f>
        <v>2257.5</v>
      </c>
      <c r="I22" s="22" t="inlineStr">
        <is>
          <t>roof_sf</t>
        </is>
      </c>
      <c r="J22" s="23" t="inlineStr">
        <is>
          <t>Includes common trusses, gables, subfascia, crane</t>
        </is>
      </c>
    </row>
    <row r="23">
      <c r="A23" s="8" t="n">
        <v>18</v>
      </c>
      <c r="B23" s="8" t="inlineStr">
        <is>
          <t>06 16 13</t>
        </is>
      </c>
      <c r="C23" s="8" t="inlineStr">
        <is>
          <t>Division 06 - Rough Framing &amp; Trusses</t>
        </is>
      </c>
      <c r="D23" s="11" t="inlineStr">
        <is>
          <t>7/16" OSB wall sheathing &amp; 7/16" roof sheathing with H-clips</t>
        </is>
      </c>
      <c r="E23" s="20">
        <f>roof_sf+2400</f>
        <v>4550.0</v>
      </c>
      <c r="F23" s="8" t="inlineStr">
        <is>
          <t>SF</t>
        </is>
      </c>
      <c r="G23" s="13" t="n">
        <v>0.08</v>
      </c>
      <c r="H23" s="21">
        <f>E23*(1+G23)</f>
        <v>4914.0</v>
      </c>
      <c r="I23" s="22" t="inlineStr">
        <is>
          <t>roof_sf+2400</t>
        </is>
      </c>
      <c r="J23" s="23" t="inlineStr">
        <is>
          <t>APA rated sheathing panels</t>
        </is>
      </c>
    </row>
    <row r="24">
      <c r="A24" s="8" t="n">
        <v>19</v>
      </c>
      <c r="B24" s="8" t="inlineStr">
        <is>
          <t>06 20 00</t>
        </is>
      </c>
      <c r="C24" s="8" t="inlineStr">
        <is>
          <t>Division 06 - Rough Framing &amp; Trusses</t>
        </is>
      </c>
      <c r="D24" s="11" t="inlineStr">
        <is>
          <t>Interior trim: 5-1/4" baseboards, 3-1/2" casing &amp; wood window sills</t>
        </is>
      </c>
      <c r="E24" s="20">
        <f>2400</f>
        <v>2400.0</v>
      </c>
      <c r="F24" s="8" t="inlineStr">
        <is>
          <t>SF</t>
        </is>
      </c>
      <c r="G24" s="13" t="n">
        <v>0.05</v>
      </c>
      <c r="H24" s="21">
        <f>E24*(1+G24)</f>
        <v>2520.0</v>
      </c>
      <c r="I24" s="22" t="inlineStr">
        <is>
          <t>2400 (counted / stated)</t>
        </is>
      </c>
      <c r="J24" s="23" t="inlineStr">
        <is>
          <t>Primed MDF / finger-joint pine</t>
        </is>
      </c>
    </row>
    <row r="25">
      <c r="A25" s="8" t="n">
        <v>20</v>
      </c>
      <c r="B25" s="8" t="inlineStr">
        <is>
          <t>06 43 00</t>
        </is>
      </c>
      <c r="C25" s="8" t="inlineStr">
        <is>
          <t>Division 06 - Rough Framing &amp; Trusses</t>
        </is>
      </c>
      <c r="D25" s="11" t="inlineStr">
        <is>
          <t>Main staircase: oak treads, painted risers, newel posts &amp; railing</t>
        </is>
      </c>
      <c r="E25" s="20">
        <f>1</f>
        <v>1.0</v>
      </c>
      <c r="F25" s="8" t="inlineStr">
        <is>
          <t>FLT</t>
        </is>
      </c>
      <c r="G25" s="13" t="n">
        <v>0</v>
      </c>
      <c r="H25" s="21">
        <f>E25*(1+G25)</f>
        <v>1.0</v>
      </c>
      <c r="I25" s="22" t="inlineStr">
        <is>
          <t>1 (counted / stated)</t>
        </is>
      </c>
      <c r="J25" s="23" t="inlineStr">
        <is>
          <t>Custom open-stringer stair system</t>
        </is>
      </c>
    </row>
    <row r="26">
      <c r="A26" s="8" t="n">
        <v>21</v>
      </c>
      <c r="B26" s="8" t="inlineStr">
        <is>
          <t>07 31 13</t>
        </is>
      </c>
      <c r="C26" s="8" t="inlineStr">
        <is>
          <t>Division 07 &amp; 08 - Exterior Envelope, Windows &amp; Doors</t>
        </is>
      </c>
      <c r="D26" s="11" t="inlineStr">
        <is>
          <t>Architectural asphalt shingles (30-yr dimensional w/ ice &amp; water shield)</t>
        </is>
      </c>
      <c r="E26" s="20">
        <f>roof_sf</f>
        <v>2150.0</v>
      </c>
      <c r="F26" s="8" t="inlineStr">
        <is>
          <t>SF</t>
        </is>
      </c>
      <c r="G26" s="13" t="n">
        <v>0.08</v>
      </c>
      <c r="H26" s="21">
        <f>E26*(1+G26)</f>
        <v>2322.0</v>
      </c>
      <c r="I26" s="22" t="inlineStr">
        <is>
          <t>roof_sf</t>
        </is>
      </c>
      <c r="J26" s="23" t="inlineStr">
        <is>
          <t>Synthetic felt, drip edge, ridge vent</t>
        </is>
      </c>
    </row>
    <row r="27">
      <c r="A27" s="8" t="n">
        <v>22</v>
      </c>
      <c r="B27" s="8" t="inlineStr">
        <is>
          <t>07 46 00</t>
        </is>
      </c>
      <c r="C27" s="8" t="inlineStr">
        <is>
          <t>Division 07 &amp; 08 - Exterior Envelope, Windows &amp; Doors</t>
        </is>
      </c>
      <c r="D27" s="11" t="inlineStr">
        <is>
          <t>Fiber-cement lap siding (HardiePlank 8-1/4" color-plus) &amp; housewrap</t>
        </is>
      </c>
      <c r="E27" s="20">
        <f>2100</f>
        <v>2100.0</v>
      </c>
      <c r="F27" s="8" t="inlineStr">
        <is>
          <t>SF</t>
        </is>
      </c>
      <c r="G27" s="13" t="n">
        <v>0.08</v>
      </c>
      <c r="H27" s="21">
        <f>E27*(1+G27)</f>
        <v>2268.0</v>
      </c>
      <c r="I27" s="22" t="inlineStr">
        <is>
          <t>2100 (counted / stated)</t>
        </is>
      </c>
      <c r="J27" s="23" t="inlineStr">
        <is>
          <t>Factory-painted fiber cement, corners, trim</t>
        </is>
      </c>
    </row>
    <row r="28">
      <c r="A28" s="8" t="n">
        <v>23</v>
      </c>
      <c r="B28" s="8" t="inlineStr">
        <is>
          <t>04 72 00</t>
        </is>
      </c>
      <c r="C28" s="8" t="inlineStr">
        <is>
          <t>Division 07 &amp; 08 - Exterior Envelope, Windows &amp; Doors</t>
        </is>
      </c>
      <c r="D28" s="11" t="inlineStr">
        <is>
          <t>Manufactured stone veneer wainscot accent on front elevation</t>
        </is>
      </c>
      <c r="E28" s="20">
        <f>280</f>
        <v>280.0</v>
      </c>
      <c r="F28" s="8" t="inlineStr">
        <is>
          <t>SF</t>
        </is>
      </c>
      <c r="G28" s="13" t="n">
        <v>0.08</v>
      </c>
      <c r="H28" s="21">
        <f>E28*(1+G28)</f>
        <v>302.40000000000003</v>
      </c>
      <c r="I28" s="22" t="inlineStr">
        <is>
          <t>280 (counted / stated)</t>
        </is>
      </c>
      <c r="J28" s="23" t="inlineStr">
        <is>
          <t>Ledgestone with metal lath and scratch coat</t>
        </is>
      </c>
    </row>
    <row r="29">
      <c r="A29" s="8" t="n">
        <v>24</v>
      </c>
      <c r="B29" s="8" t="inlineStr">
        <is>
          <t>07 71 23</t>
        </is>
      </c>
      <c r="C29" s="8" t="inlineStr">
        <is>
          <t>Division 07 &amp; 08 - Exterior Envelope, Windows &amp; Doors</t>
        </is>
      </c>
      <c r="D29" s="11" t="inlineStr">
        <is>
          <t>5" Seamless aluminum gutters and 3x4 downspouts</t>
        </is>
      </c>
      <c r="E29" s="20">
        <f>180</f>
        <v>180.0</v>
      </c>
      <c r="F29" s="8" t="inlineStr">
        <is>
          <t>LF</t>
        </is>
      </c>
      <c r="G29" s="13" t="n">
        <v>0.05</v>
      </c>
      <c r="H29" s="21">
        <f>E29*(1+G29)</f>
        <v>189.0</v>
      </c>
      <c r="I29" s="22" t="inlineStr">
        <is>
          <t>180 (counted / stated)</t>
        </is>
      </c>
      <c r="J29" s="23" t="inlineStr">
        <is>
          <t>Hidden hangers @ 24" o.c.</t>
        </is>
      </c>
    </row>
    <row r="30">
      <c r="A30" s="8" t="n">
        <v>25</v>
      </c>
      <c r="B30" s="8" t="inlineStr">
        <is>
          <t>08 53 13</t>
        </is>
      </c>
      <c r="C30" s="8" t="inlineStr">
        <is>
          <t>Division 07 &amp; 08 - Exterior Envelope, Windows &amp; Doors</t>
        </is>
      </c>
      <c r="D30" s="11" t="inlineStr">
        <is>
          <t>Vinyl insulated windows: double-hung, Low-E argon, screens</t>
        </is>
      </c>
      <c r="E30" s="20">
        <f>n_windows</f>
        <v>20.0</v>
      </c>
      <c r="F30" s="8" t="inlineStr">
        <is>
          <t>EA</t>
        </is>
      </c>
      <c r="G30" s="13" t="n">
        <v>0</v>
      </c>
      <c r="H30" s="21">
        <f>E30*(1+G30)</f>
        <v>20.0</v>
      </c>
      <c r="I30" s="22" t="inlineStr">
        <is>
          <t>n_windows</t>
        </is>
      </c>
      <c r="J30" s="23" t="inlineStr">
        <is>
          <t>Energy Star certified windows</t>
        </is>
      </c>
    </row>
    <row r="31">
      <c r="A31" s="8" t="n">
        <v>26</v>
      </c>
      <c r="B31" s="8" t="inlineStr">
        <is>
          <t>08 14 00</t>
        </is>
      </c>
      <c r="C31" s="8" t="inlineStr">
        <is>
          <t>Division 07 &amp; 08 - Exterior Envelope, Windows &amp; Doors</t>
        </is>
      </c>
      <c r="D31" s="11" t="inlineStr">
        <is>
          <t>Exterior entry doors (insulated fiberglass w/ sidelite, service door)</t>
        </is>
      </c>
      <c r="E31" s="20">
        <f>n_ext_doors</f>
        <v>3.0</v>
      </c>
      <c r="F31" s="8" t="inlineStr">
        <is>
          <t>EA</t>
        </is>
      </c>
      <c r="G31" s="13" t="n">
        <v>0</v>
      </c>
      <c r="H31" s="21">
        <f>E31*(1+G31)</f>
        <v>3.0</v>
      </c>
      <c r="I31" s="22" t="inlineStr">
        <is>
          <t>n_ext_doors</t>
        </is>
      </c>
      <c r="J31" s="23" t="inlineStr">
        <is>
          <t>Factory-finished exterior doors with deadbolts</t>
        </is>
      </c>
    </row>
    <row r="32">
      <c r="A32" s="8" t="n">
        <v>27</v>
      </c>
      <c r="B32" s="8" t="inlineStr">
        <is>
          <t>08 36 13</t>
        </is>
      </c>
      <c r="C32" s="8" t="inlineStr">
        <is>
          <t>Division 07 &amp; 08 - Exterior Envelope, Windows &amp; Doors</t>
        </is>
      </c>
      <c r="D32" s="11" t="inlineStr">
        <is>
          <t>16' x 7' Sectional insulated steel garage door with 1/2 HP opener</t>
        </is>
      </c>
      <c r="E32" s="20">
        <f>1</f>
        <v>1.0</v>
      </c>
      <c r="F32" s="8" t="inlineStr">
        <is>
          <t>EA</t>
        </is>
      </c>
      <c r="G32" s="13" t="n">
        <v>0</v>
      </c>
      <c r="H32" s="21">
        <f>E32*(1+G32)</f>
        <v>1.0</v>
      </c>
      <c r="I32" s="22" t="inlineStr">
        <is>
          <t>1 (counted / stated)</t>
        </is>
      </c>
      <c r="J32" s="23" t="inlineStr">
        <is>
          <t>R-12 insulated panels, 2 remotes, keypad</t>
        </is>
      </c>
    </row>
    <row r="33">
      <c r="A33" s="8" t="n">
        <v>28</v>
      </c>
      <c r="B33" s="8" t="inlineStr">
        <is>
          <t>07 21 16</t>
        </is>
      </c>
      <c r="C33" s="8" t="inlineStr">
        <is>
          <t>Division 09 - Finishes</t>
        </is>
      </c>
      <c r="D33" s="11" t="inlineStr">
        <is>
          <t>Thermal insulation: R-21 fiberglass batts (walls), R-49 blown attic</t>
        </is>
      </c>
      <c r="E33" s="20">
        <f>2400</f>
        <v>2400.0</v>
      </c>
      <c r="F33" s="8" t="inlineStr">
        <is>
          <t>SF</t>
        </is>
      </c>
      <c r="G33" s="13" t="n">
        <v>0.05</v>
      </c>
      <c r="H33" s="21">
        <f>E33*(1+G33)</f>
        <v>2520.0</v>
      </c>
      <c r="I33" s="22" t="inlineStr">
        <is>
          <t>2400 (counted / stated)</t>
        </is>
      </c>
      <c r="J33" s="23" t="inlineStr">
        <is>
          <t>Meets 2024 IECC energy code</t>
        </is>
      </c>
    </row>
    <row r="34">
      <c r="A34" s="8" t="n">
        <v>29</v>
      </c>
      <c r="B34" s="8" t="inlineStr">
        <is>
          <t>09 29 00</t>
        </is>
      </c>
      <c r="C34" s="8" t="inlineStr">
        <is>
          <t>Division 09 - Finishes</t>
        </is>
      </c>
      <c r="D34" s="11" t="inlineStr">
        <is>
          <t>1/2" Drywall throughout, taped and finished Level 4 ready for paint</t>
        </is>
      </c>
      <c r="E34" s="20">
        <f>8640.0</f>
        <v>8640.0</v>
      </c>
      <c r="F34" s="8" t="inlineStr">
        <is>
          <t>SF</t>
        </is>
      </c>
      <c r="G34" s="13" t="n">
        <v>0.08</v>
      </c>
      <c r="H34" s="21">
        <f>E34*(1+G34)</f>
        <v>9331.2</v>
      </c>
      <c r="I34" s="22" t="inlineStr">
        <is>
          <t>8640 (counted / stated)</t>
        </is>
      </c>
      <c r="J34" s="23" t="inlineStr">
        <is>
          <t>Walls and ceilings throughout living areas</t>
        </is>
      </c>
    </row>
    <row r="35">
      <c r="A35" s="8" t="n">
        <v>30</v>
      </c>
      <c r="B35" s="8" t="inlineStr">
        <is>
          <t>09 91 23</t>
        </is>
      </c>
      <c r="C35" s="8" t="inlineStr">
        <is>
          <t>Division 09 - Finishes</t>
        </is>
      </c>
      <c r="D35" s="11" t="inlineStr">
        <is>
          <t>Interior painting: 1 coat PVA primer, 2 coats latex finish</t>
        </is>
      </c>
      <c r="E35" s="20">
        <f>8640.0</f>
        <v>8640.0</v>
      </c>
      <c r="F35" s="8" t="inlineStr">
        <is>
          <t>SF</t>
        </is>
      </c>
      <c r="G35" s="13" t="n">
        <v>0.05</v>
      </c>
      <c r="H35" s="21">
        <f>E35*(1+G35)</f>
        <v>9072.0</v>
      </c>
      <c r="I35" s="22" t="inlineStr">
        <is>
          <t>8640 (counted / stated)</t>
        </is>
      </c>
      <c r="J35" s="23" t="inlineStr">
        <is>
          <t>Semi-gloss trim, satin walls, flat ceilings</t>
        </is>
      </c>
    </row>
    <row r="36">
      <c r="A36" s="8" t="n">
        <v>31</v>
      </c>
      <c r="B36" s="8" t="inlineStr">
        <is>
          <t>09 65 00</t>
        </is>
      </c>
      <c r="C36" s="8" t="inlineStr">
        <is>
          <t>Division 09 - Finishes</t>
        </is>
      </c>
      <c r="D36" s="11" t="inlineStr">
        <is>
          <t>Engineered hardwood flooring (living, kitchen, foyer, hallways)</t>
        </is>
      </c>
      <c r="E36" s="20">
        <f>1250</f>
        <v>1250.0</v>
      </c>
      <c r="F36" s="8" t="inlineStr">
        <is>
          <t>SF</t>
        </is>
      </c>
      <c r="G36" s="13" t="n">
        <v>0.08</v>
      </c>
      <c r="H36" s="21">
        <f>E36*(1+G36)</f>
        <v>1350.0</v>
      </c>
      <c r="I36" s="22" t="inlineStr">
        <is>
          <t>1250 (counted / stated)</t>
        </is>
      </c>
      <c r="J36" s="23" t="inlineStr">
        <is>
          <t>Glue-assist click-lock prefinished hardwood</t>
        </is>
      </c>
    </row>
    <row r="37">
      <c r="A37" s="8" t="n">
        <v>32</v>
      </c>
      <c r="B37" s="8" t="inlineStr">
        <is>
          <t>09 68 00</t>
        </is>
      </c>
      <c r="C37" s="8" t="inlineStr">
        <is>
          <t>Division 09 - Finishes</t>
        </is>
      </c>
      <c r="D37" s="11" t="inlineStr">
        <is>
          <t>Stain-resistant carpet with 8 lb rebond pad (bedrooms &amp; stairs)</t>
        </is>
      </c>
      <c r="E37" s="20">
        <f>850</f>
        <v>850.0</v>
      </c>
      <c r="F37" s="8" t="inlineStr">
        <is>
          <t>SF</t>
        </is>
      </c>
      <c r="G37" s="13" t="n">
        <v>0.08</v>
      </c>
      <c r="H37" s="21">
        <f>E37*(1+G37)</f>
        <v>918.0000000000001</v>
      </c>
      <c r="I37" s="22" t="inlineStr">
        <is>
          <t>850 (counted / stated)</t>
        </is>
      </c>
      <c r="J37" s="23" t="inlineStr">
        <is>
          <t>Plush nylon residential carpet</t>
        </is>
      </c>
    </row>
    <row r="38">
      <c r="A38" s="8" t="n">
        <v>33</v>
      </c>
      <c r="B38" s="8" t="inlineStr">
        <is>
          <t>09 30 13</t>
        </is>
      </c>
      <c r="C38" s="8" t="inlineStr">
        <is>
          <t>Division 09 - Finishes</t>
        </is>
      </c>
      <c r="D38" s="11" t="inlineStr">
        <is>
          <t>Porcelain tile flooring (bathrooms, laundry room)</t>
        </is>
      </c>
      <c r="E38" s="20">
        <f>300</f>
        <v>300.0</v>
      </c>
      <c r="F38" s="8" t="inlineStr">
        <is>
          <t>SF</t>
        </is>
      </c>
      <c r="G38" s="13" t="n">
        <v>0.1</v>
      </c>
      <c r="H38" s="21">
        <f>E38*(1+G38)</f>
        <v>330.0</v>
      </c>
      <c r="I38" s="22" t="inlineStr">
        <is>
          <t>300 (counted / stated)</t>
        </is>
      </c>
      <c r="J38" s="23" t="inlineStr">
        <is>
          <t>12x24 rectified porcelain over cement board</t>
        </is>
      </c>
    </row>
    <row r="39">
      <c r="A39" s="8" t="n">
        <v>34</v>
      </c>
      <c r="B39" s="8" t="inlineStr">
        <is>
          <t>12 35 30</t>
        </is>
      </c>
      <c r="C39" s="8" t="inlineStr">
        <is>
          <t>Division 10, 11 &amp; 12 - Cabinets, Countertops &amp; Specialties</t>
        </is>
      </c>
      <c r="D39" s="11" t="inlineStr">
        <is>
          <t>Kitchen &amp; vanity cabinetry: all-wood shaker style, soft-close</t>
        </is>
      </c>
      <c r="E39" s="20">
        <f>cab_base_lf</f>
        <v>36.0</v>
      </c>
      <c r="F39" s="8" t="inlineStr">
        <is>
          <t>LF</t>
        </is>
      </c>
      <c r="G39" s="13" t="n">
        <v>0</v>
      </c>
      <c r="H39" s="21">
        <f>E39*(1+G39)</f>
        <v>36.0</v>
      </c>
      <c r="I39" s="22" t="inlineStr">
        <is>
          <t>cab_base_lf</t>
        </is>
      </c>
      <c r="J39" s="23" t="inlineStr">
        <is>
          <t>Plywood box construction, dovetailed drawers</t>
        </is>
      </c>
    </row>
    <row r="40">
      <c r="A40" s="8" t="n">
        <v>35</v>
      </c>
      <c r="B40" s="8" t="inlineStr">
        <is>
          <t>12 36 61</t>
        </is>
      </c>
      <c r="C40" s="8" t="inlineStr">
        <is>
          <t>Division 10, 11 &amp; 12 - Cabinets, Countertops &amp; Specialties</t>
        </is>
      </c>
      <c r="D40" s="11" t="inlineStr">
        <is>
          <t>Quartz countertops (kitchen island, perimeter, vanity tops)</t>
        </is>
      </c>
      <c r="E40" s="20">
        <f>counter_sf</f>
        <v>85.0</v>
      </c>
      <c r="F40" s="8" t="inlineStr">
        <is>
          <t>SF</t>
        </is>
      </c>
      <c r="G40" s="13" t="n">
        <v>0.05</v>
      </c>
      <c r="H40" s="21">
        <f>E40*(1+G40)</f>
        <v>89.25</v>
      </c>
      <c r="I40" s="22" t="inlineStr">
        <is>
          <t>counter_sf</t>
        </is>
      </c>
      <c r="J40" s="23" t="inlineStr">
        <is>
          <t>3 cm engineered quartz with polished undermount cutouts</t>
        </is>
      </c>
    </row>
    <row r="41">
      <c r="A41" s="8" t="n">
        <v>36</v>
      </c>
      <c r="B41" s="8" t="inlineStr">
        <is>
          <t>11 31 00</t>
        </is>
      </c>
      <c r="C41" s="8" t="inlineStr">
        <is>
          <t>Division 10, 11 &amp; 12 - Cabinets, Countertops &amp; Specialties</t>
        </is>
      </c>
      <c r="D41" s="11" t="inlineStr">
        <is>
          <t>Kitchen appliances package (gas/electric range, microwave, dishwasher, disposal)</t>
        </is>
      </c>
      <c r="E41" s="20">
        <f>1</f>
        <v>1.0</v>
      </c>
      <c r="F41" s="8" t="inlineStr">
        <is>
          <t>LS</t>
        </is>
      </c>
      <c r="G41" s="13" t="n">
        <v>0</v>
      </c>
      <c r="H41" s="21">
        <f>E41*(1+G41)</f>
        <v>1.0</v>
      </c>
      <c r="I41" s="22" t="inlineStr">
        <is>
          <t>1 (counted / stated)</t>
        </is>
      </c>
      <c r="J41" s="23" t="inlineStr">
        <is>
          <t>Stainless steel energy star package</t>
        </is>
      </c>
    </row>
    <row r="42">
      <c r="A42" s="8" t="n">
        <v>37</v>
      </c>
      <c r="B42" s="8" t="inlineStr">
        <is>
          <t>10 28 00</t>
        </is>
      </c>
      <c r="C42" s="8" t="inlineStr">
        <is>
          <t>Division 10, 11 &amp; 12 - Cabinets, Countertops &amp; Specialties</t>
        </is>
      </c>
      <c r="D42" s="11" t="inlineStr">
        <is>
          <t>Bathroom accessories, framed vanity mirrors &amp; wire closet shelving</t>
        </is>
      </c>
      <c r="E42" s="20">
        <f>1</f>
        <v>1.0</v>
      </c>
      <c r="F42" s="8" t="inlineStr">
        <is>
          <t>LS</t>
        </is>
      </c>
      <c r="G42" s="13" t="n">
        <v>0</v>
      </c>
      <c r="H42" s="21">
        <f>E42*(1+G42)</f>
        <v>1.0</v>
      </c>
      <c r="I42" s="22" t="inlineStr">
        <is>
          <t>1 (counted / stated)</t>
        </is>
      </c>
      <c r="J42" s="23" t="inlineStr">
        <is>
          <t>Towel bars, paper holders, ventilated wire shelves</t>
        </is>
      </c>
    </row>
    <row r="43">
      <c r="A43" s="8" t="n">
        <v>38</v>
      </c>
      <c r="B43" s="8" t="inlineStr">
        <is>
          <t>08 14 16</t>
        </is>
      </c>
      <c r="C43" s="8" t="inlineStr">
        <is>
          <t>Division 10, 11 &amp; 12 - Cabinets, Countertops &amp; Specialties</t>
        </is>
      </c>
      <c r="D43" s="11" t="inlineStr">
        <is>
          <t>Interior hollow-core 2-panel doors prehung with brushed nickel levers</t>
        </is>
      </c>
      <c r="E43" s="20">
        <f>n_int_doors</f>
        <v>16.0</v>
      </c>
      <c r="F43" s="8" t="inlineStr">
        <is>
          <t>EA</t>
        </is>
      </c>
      <c r="G43" s="13" t="n">
        <v>0</v>
      </c>
      <c r="H43" s="21">
        <f>E43*(1+G43)</f>
        <v>16.0</v>
      </c>
      <c r="I43" s="22" t="inlineStr">
        <is>
          <t>n_int_doors</t>
        </is>
      </c>
      <c r="J43" s="23" t="inlineStr">
        <is>
          <t>Boring, hinges, strike plate and hardware</t>
        </is>
      </c>
    </row>
    <row r="44">
      <c r="A44" s="8" t="n">
        <v>39</v>
      </c>
      <c r="B44" s="8" t="inlineStr">
        <is>
          <t>22 00 00</t>
        </is>
      </c>
      <c r="C44" s="8" t="inlineStr">
        <is>
          <t>Division 22, 23 &amp; 26 - Mechanical, Electrical &amp; Plumbing</t>
        </is>
      </c>
      <c r="D44" s="11" t="inlineStr">
        <is>
          <t>Complete residential plumbing package (PEX supply, PVC DWV, 2.5 baths)</t>
        </is>
      </c>
      <c r="E44" s="20">
        <f>1</f>
        <v>1.0</v>
      </c>
      <c r="F44" s="8" t="inlineStr">
        <is>
          <t>LS</t>
        </is>
      </c>
      <c r="G44" s="13" t="n">
        <v>0</v>
      </c>
      <c r="H44" s="21">
        <f>E44*(1+G44)</f>
        <v>1.0</v>
      </c>
      <c r="I44" s="22" t="inlineStr">
        <is>
          <t>1 (counted / stated)</t>
        </is>
      </c>
      <c r="J44" s="23" t="inlineStr">
        <is>
          <t>Rough-in, venting, stacks, connections</t>
        </is>
      </c>
    </row>
    <row r="45">
      <c r="A45" s="8" t="n">
        <v>40</v>
      </c>
      <c r="B45" s="8" t="inlineStr">
        <is>
          <t>22 40 00</t>
        </is>
      </c>
      <c r="C45" s="8" t="inlineStr">
        <is>
          <t>Division 22, 23 &amp; 26 - Mechanical, Electrical &amp; Plumbing</t>
        </is>
      </c>
      <c r="D45" s="11" t="inlineStr">
        <is>
          <t>Plumbing fixtures package (toilets, fiberglass tub/shower, lavs, kitchen sink)</t>
        </is>
      </c>
      <c r="E45" s="20">
        <f>1</f>
        <v>1.0</v>
      </c>
      <c r="F45" s="8" t="inlineStr">
        <is>
          <t>LS</t>
        </is>
      </c>
      <c r="G45" s="13" t="n">
        <v>0</v>
      </c>
      <c r="H45" s="21">
        <f>E45*(1+G45)</f>
        <v>1.0</v>
      </c>
      <c r="I45" s="22" t="inlineStr">
        <is>
          <t>1 (counted / stated)</t>
        </is>
      </c>
      <c r="J45" s="23" t="inlineStr">
        <is>
          <t>Kohler/Moen fixtures and trim kits</t>
        </is>
      </c>
    </row>
    <row r="46">
      <c r="A46" s="8" t="n">
        <v>41</v>
      </c>
      <c r="B46" s="8" t="inlineStr">
        <is>
          <t>22 33 00</t>
        </is>
      </c>
      <c r="C46" s="8" t="inlineStr">
        <is>
          <t>Division 22, 23 &amp; 26 - Mechanical, Electrical &amp; Plumbing</t>
        </is>
      </c>
      <c r="D46" s="11" t="inlineStr">
        <is>
          <t>50-Gallon hybrid electric heat pump water heater</t>
        </is>
      </c>
      <c r="E46" s="20">
        <f>1</f>
        <v>1.0</v>
      </c>
      <c r="F46" s="8" t="inlineStr">
        <is>
          <t>EA</t>
        </is>
      </c>
      <c r="G46" s="13" t="n">
        <v>0</v>
      </c>
      <c r="H46" s="21">
        <f>E46*(1+G46)</f>
        <v>1.0</v>
      </c>
      <c r="I46" s="22" t="inlineStr">
        <is>
          <t>1 (counted / stated)</t>
        </is>
      </c>
      <c r="J46" s="23" t="inlineStr">
        <is>
          <t>Energy Star high-efficiency unit</t>
        </is>
      </c>
    </row>
    <row r="47">
      <c r="A47" s="8" t="n">
        <v>42</v>
      </c>
      <c r="B47" s="8" t="inlineStr">
        <is>
          <t>23 00 00</t>
        </is>
      </c>
      <c r="C47" s="8" t="inlineStr">
        <is>
          <t>Division 22, 23 &amp; 26 - Mechanical, Electrical &amp; Plumbing</t>
        </is>
      </c>
      <c r="D47" s="11" t="inlineStr">
        <is>
          <t>3.5-Ton 16 SEER2 heat pump split system with ductwork &amp; digital thermostat</t>
        </is>
      </c>
      <c r="E47" s="20">
        <f>1</f>
        <v>1.0</v>
      </c>
      <c r="F47" s="8" t="inlineStr">
        <is>
          <t>LS</t>
        </is>
      </c>
      <c r="G47" s="13" t="n">
        <v>0</v>
      </c>
      <c r="H47" s="21">
        <f>E47*(1+G47)</f>
        <v>1.0</v>
      </c>
      <c r="I47" s="22" t="inlineStr">
        <is>
          <t>1 (counted / stated)</t>
        </is>
      </c>
      <c r="J47" s="23" t="inlineStr">
        <is>
          <t>Complete distribution system, registers, grilles</t>
        </is>
      </c>
    </row>
    <row r="48">
      <c r="A48" s="8" t="n">
        <v>43</v>
      </c>
      <c r="B48" s="8" t="inlineStr">
        <is>
          <t>23 37 00</t>
        </is>
      </c>
      <c r="C48" s="8" t="inlineStr">
        <is>
          <t>Division 22, 23 &amp; 26 - Mechanical, Electrical &amp; Plumbing</t>
        </is>
      </c>
      <c r="D48" s="11" t="inlineStr">
        <is>
          <t>Bath exhaust ventilation fans (3 ea) &amp; dryer vent exhaust duct</t>
        </is>
      </c>
      <c r="E48" s="20">
        <f>1</f>
        <v>1.0</v>
      </c>
      <c r="F48" s="8" t="inlineStr">
        <is>
          <t>LS</t>
        </is>
      </c>
      <c r="G48" s="13" t="n">
        <v>0</v>
      </c>
      <c r="H48" s="21">
        <f>E48*(1+G48)</f>
        <v>1.0</v>
      </c>
      <c r="I48" s="22" t="inlineStr">
        <is>
          <t>1 (counted / stated)</t>
        </is>
      </c>
      <c r="J48" s="23" t="inlineStr">
        <is>
          <t>110 CFM quiet-rated exhaust fans</t>
        </is>
      </c>
    </row>
    <row r="49">
      <c r="A49" s="8" t="n">
        <v>44</v>
      </c>
      <c r="B49" s="8" t="inlineStr">
        <is>
          <t>26 00 00</t>
        </is>
      </c>
      <c r="C49" s="8" t="inlineStr">
        <is>
          <t>Division 22, 23 &amp; 26 - Mechanical, Electrical &amp; Plumbing</t>
        </is>
      </c>
      <c r="D49" s="11" t="inlineStr">
        <is>
          <t>200 A Service panel, complete branch circuit wiring (Romex) &amp; devices</t>
        </is>
      </c>
      <c r="E49" s="20">
        <f>2400</f>
        <v>2400.0</v>
      </c>
      <c r="F49" s="8" t="inlineStr">
        <is>
          <t>SF</t>
        </is>
      </c>
      <c r="G49" s="13" t="n">
        <v>0</v>
      </c>
      <c r="H49" s="21">
        <f>E49*(1+G49)</f>
        <v>2400.0</v>
      </c>
      <c r="I49" s="22" t="inlineStr">
        <is>
          <t>2400 (counted / stated)</t>
        </is>
      </c>
      <c r="J49" s="23" t="inlineStr">
        <is>
          <t>AFCI/GFCI breakers, code-compliant receptacles</t>
        </is>
      </c>
    </row>
    <row r="50">
      <c r="A50" s="8" t="n">
        <v>45</v>
      </c>
      <c r="B50" s="8" t="inlineStr">
        <is>
          <t>26 51 00</t>
        </is>
      </c>
      <c r="C50" s="8" t="inlineStr">
        <is>
          <t>Division 22, 23 &amp; 26 - Mechanical, Electrical &amp; Plumbing</t>
        </is>
      </c>
      <c r="D50" s="11" t="inlineStr">
        <is>
          <t>Lighting fixtures package: LED wafer downlights (32 ea) + decorative fixtures</t>
        </is>
      </c>
      <c r="E50" s="20">
        <f>1</f>
        <v>1.0</v>
      </c>
      <c r="F50" s="8" t="inlineStr">
        <is>
          <t>LS</t>
        </is>
      </c>
      <c r="G50" s="13" t="n">
        <v>0</v>
      </c>
      <c r="H50" s="21">
        <f>E50*(1+G50)</f>
        <v>1.0</v>
      </c>
      <c r="I50" s="22" t="inlineStr">
        <is>
          <t>1 (counted / stated)</t>
        </is>
      </c>
      <c r="J50" s="23" t="inlineStr">
        <is>
          <t>Canless downlights, foyer chandelier, vanity lights</t>
        </is>
      </c>
    </row>
    <row r="51">
      <c r="A51" s="8" t="n">
        <v>46</v>
      </c>
      <c r="B51" s="8" t="inlineStr">
        <is>
          <t>28 31 00</t>
        </is>
      </c>
      <c r="C51" s="8" t="inlineStr">
        <is>
          <t>Division 22, 23 &amp; 26 - Mechanical, Electrical &amp; Plumbing</t>
        </is>
      </c>
      <c r="D51" s="11" t="inlineStr">
        <is>
          <t>Hardwired smoke &amp; carbon monoxide detector system w/ battery backup</t>
        </is>
      </c>
      <c r="E51" s="20">
        <f>8</f>
        <v>8.0</v>
      </c>
      <c r="F51" s="8" t="inlineStr">
        <is>
          <t>EA</t>
        </is>
      </c>
      <c r="G51" s="13" t="n">
        <v>0</v>
      </c>
      <c r="H51" s="21">
        <f>E51*(1+G51)</f>
        <v>8.0</v>
      </c>
      <c r="I51" s="22" t="inlineStr">
        <is>
          <t>8 (counted / stated)</t>
        </is>
      </c>
      <c r="J51" s="23" t="inlineStr">
        <is>
          <t>Interconnected per NFPA 72</t>
        </is>
      </c>
    </row>
    <row r="52">
      <c r="A52" s="8" t="n">
        <v>47</v>
      </c>
      <c r="B52" s="8" t="inlineStr">
        <is>
          <t>32 13 13</t>
        </is>
      </c>
      <c r="C52" s="8" t="inlineStr">
        <is>
          <t>Division 32 &amp; 33 - Exterior Improvements &amp; Site Utilities</t>
        </is>
      </c>
      <c r="D52" s="11" t="inlineStr">
        <is>
          <t>4" Concrete driveway (20' x 30') and front entry walkway (4,000 psi broom finish)</t>
        </is>
      </c>
      <c r="E52" s="20">
        <f>driveway_sf</f>
        <v>680.0</v>
      </c>
      <c r="F52" s="8" t="inlineStr">
        <is>
          <t>SF</t>
        </is>
      </c>
      <c r="G52" s="13" t="n">
        <v>0.08</v>
      </c>
      <c r="H52" s="21">
        <f>E52*(1+G52)</f>
        <v>734.4000000000001</v>
      </c>
      <c r="I52" s="22" t="inlineStr">
        <is>
          <t>driveway_sf</t>
        </is>
      </c>
      <c r="J52" s="23" t="inlineStr">
        <is>
          <t>Broom finish with sawcut control joints</t>
        </is>
      </c>
    </row>
    <row r="53">
      <c r="A53" s="8" t="n">
        <v>48</v>
      </c>
      <c r="B53" s="8" t="inlineStr">
        <is>
          <t>32 92 00</t>
        </is>
      </c>
      <c r="C53" s="8" t="inlineStr">
        <is>
          <t>Division 32 &amp; 33 - Exterior Improvements &amp; Site Utilities</t>
        </is>
      </c>
      <c r="D53" s="11" t="inlineStr">
        <is>
          <t>Final site fine grading, topsoil seed &amp; straw (disturbed area)</t>
        </is>
      </c>
      <c r="E53" s="20">
        <f>6500</f>
        <v>6500.0</v>
      </c>
      <c r="F53" s="8" t="inlineStr">
        <is>
          <t>SF</t>
        </is>
      </c>
      <c r="G53" s="13" t="n">
        <v>0.05</v>
      </c>
      <c r="H53" s="21">
        <f>E53*(1+G53)</f>
        <v>6825.0</v>
      </c>
      <c r="I53" s="22" t="inlineStr">
        <is>
          <t>6500 (counted / stated)</t>
        </is>
      </c>
      <c r="J53" s="23" t="inlineStr">
        <is>
          <t>Hydroseed or premium broadcast seed</t>
        </is>
      </c>
    </row>
    <row r="54">
      <c r="A54" s="8" t="n">
        <v>49</v>
      </c>
      <c r="B54" s="8" t="inlineStr">
        <is>
          <t>33 11 00</t>
        </is>
      </c>
      <c r="C54" s="8" t="inlineStr">
        <is>
          <t>Division 32 &amp; 33 - Exterior Improvements &amp; Site Utilities</t>
        </is>
      </c>
      <c r="D54" s="11" t="inlineStr">
        <is>
          <t>Water service lateral from municipal meter to house foundation</t>
        </is>
      </c>
      <c r="E54" s="20">
        <f>60</f>
        <v>60.0</v>
      </c>
      <c r="F54" s="8" t="inlineStr">
        <is>
          <t>LF</t>
        </is>
      </c>
      <c r="G54" s="13" t="n">
        <v>0.05</v>
      </c>
      <c r="H54" s="21">
        <f>E54*(1+G54)</f>
        <v>63.0</v>
      </c>
      <c r="I54" s="22" t="inlineStr">
        <is>
          <t>60 (counted / stated)</t>
        </is>
      </c>
      <c r="J54" s="23" t="inlineStr">
        <is>
          <t>1" Type K copper / CTS poly line with trenching</t>
        </is>
      </c>
    </row>
    <row r="55">
      <c r="A55" s="8" t="n">
        <v>50</v>
      </c>
      <c r="B55" s="8" t="inlineStr">
        <is>
          <t>33 31 00</t>
        </is>
      </c>
      <c r="C55" s="8" t="inlineStr">
        <is>
          <t>Division 32 &amp; 33 - Exterior Improvements &amp; Site Utilities</t>
        </is>
      </c>
      <c r="D55" s="11" t="inlineStr">
        <is>
          <t>Sewer lateral connection from house main drain to street tap</t>
        </is>
      </c>
      <c r="E55" s="20">
        <f>60</f>
        <v>60.0</v>
      </c>
      <c r="F55" s="8" t="inlineStr">
        <is>
          <t>LF</t>
        </is>
      </c>
      <c r="G55" s="13" t="n">
        <v>0.05</v>
      </c>
      <c r="H55" s="21">
        <f>E55*(1+G55)</f>
        <v>63.0</v>
      </c>
      <c r="I55" s="22" t="inlineStr">
        <is>
          <t>60 (counted / stated)</t>
        </is>
      </c>
      <c r="J55" s="23" t="inlineStr">
        <is>
          <t>4" SDR-35 PVC pipe with cleanouts</t>
        </is>
      </c>
    </row>
  </sheetData>
  <autoFilter ref="A5:J55"/>
  <mergeCells count="1">
    <mergeCell ref="A3:J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56"/>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6" customWidth="1" min="1" max="1"/>
    <col width="18" customWidth="1" min="2" max="2"/>
    <col width="40" customWidth="1" min="3" max="3"/>
    <col width="12" customWidth="1" min="4" max="4"/>
    <col width="7" customWidth="1" min="5" max="5"/>
    <col width="11" customWidth="1" min="6" max="6"/>
    <col width="13" customWidth="1" min="7" max="7"/>
    <col width="10" customWidth="1" min="8" max="8"/>
    <col width="10" customWidth="1" min="9" max="9"/>
    <col width="10" customWidth="1" min="10" max="10"/>
    <col width="13" customWidth="1" min="11" max="11"/>
    <col width="10" customWidth="1" min="12" max="12"/>
    <col width="12" customWidth="1" min="13" max="13"/>
    <col width="14" customWidth="1" min="14" max="14"/>
  </cols>
  <sheetData>
    <row r="1">
      <c r="A1" s="1" t="inlineStr">
        <is>
          <t>F&amp;K Estimatings</t>
        </is>
      </c>
    </row>
    <row r="2">
      <c r="A2" s="2" t="inlineStr">
        <is>
          <t>Residential Construction Estimate Sample — Pricing (illustrative unit costs)</t>
        </is>
      </c>
    </row>
    <row r="3" ht="36" customHeight="1">
      <c r="A3" s="3" t="inlineStr">
        <is>
          <t>Sample deliverable — prepared on a representative project to show format and level of detail. Not a client project. Quantities are computed from the sample project dimensions stated below; unit costs are illustrative (pricing basis: September 2026, national average, not a quote).</t>
        </is>
      </c>
    </row>
    <row r="4">
      <c r="A4" s="19" t="inlineStr">
        <is>
          <t>Unit costs and labor rates are illustrative, September 2026 national average; not a quote. Labor hr/unit = stated productivity. Rates are named assumptions.</t>
        </is>
      </c>
    </row>
    <row r="5" ht="26" customHeight="1">
      <c r="A5" s="7" t="inlineStr">
        <is>
          <t>Item</t>
        </is>
      </c>
      <c r="B5" s="7" t="inlineStr">
        <is>
          <t>Group</t>
        </is>
      </c>
      <c r="C5" s="7" t="inlineStr">
        <is>
          <t>Description</t>
        </is>
      </c>
      <c r="D5" s="7" t="inlineStr">
        <is>
          <t>Qty incl. waste</t>
        </is>
      </c>
      <c r="E5" s="7" t="inlineStr">
        <is>
          <t>Unit</t>
        </is>
      </c>
      <c r="F5" s="7" t="inlineStr">
        <is>
          <t>Material $/unit</t>
        </is>
      </c>
      <c r="G5" s="7" t="inlineStr">
        <is>
          <t>Material $</t>
        </is>
      </c>
      <c r="H5" s="7" t="inlineStr">
        <is>
          <t>Labor hr/unit</t>
        </is>
      </c>
      <c r="I5" s="7" t="inlineStr">
        <is>
          <t>Labor hrs</t>
        </is>
      </c>
      <c r="J5" s="7" t="inlineStr">
        <is>
          <t>Labor rate $/hr</t>
        </is>
      </c>
      <c r="K5" s="7" t="inlineStr">
        <is>
          <t>Labor $</t>
        </is>
      </c>
      <c r="L5" s="7" t="inlineStr">
        <is>
          <t>Equip $/unit</t>
        </is>
      </c>
      <c r="M5" s="7" t="inlineStr">
        <is>
          <t>Equip $</t>
        </is>
      </c>
      <c r="N5" s="7" t="inlineStr">
        <is>
          <t>Total $</t>
        </is>
      </c>
    </row>
    <row r="6">
      <c r="A6" s="8" t="n">
        <v>1</v>
      </c>
      <c r="B6" s="8" t="inlineStr">
        <is>
          <t>Division 01 - General Conditions</t>
        </is>
      </c>
      <c r="C6" s="11" t="inlineStr">
        <is>
          <t>Project superintendent / preconstruction supervision (16 wks @ 15 hr/wk)</t>
        </is>
      </c>
      <c r="D6" s="24">
        <f>'Quantity Takeoff'!H6</f>
        <v>240.0</v>
      </c>
      <c r="E6" s="8" t="inlineStr">
        <is>
          <t>HR</t>
        </is>
      </c>
      <c r="F6" s="25" t="n">
        <v>0</v>
      </c>
      <c r="G6" s="26">
        <f>D6*F6</f>
        <v>0.0</v>
      </c>
      <c r="H6" s="27" t="n">
        <v>1</v>
      </c>
      <c r="I6" s="28">
        <f>D6*H6</f>
        <v>240.0</v>
      </c>
      <c r="J6" s="29">
        <f>rate_mgmt</f>
        <v>95.0</v>
      </c>
      <c r="K6" s="26">
        <f>I6*J6</f>
        <v>22800.0</v>
      </c>
      <c r="L6" s="25" t="n">
        <v>0</v>
      </c>
      <c r="M6" s="26">
        <f>D6*L6</f>
        <v>0.0</v>
      </c>
      <c r="N6" s="30">
        <f>G6+K6+M6</f>
        <v>22800.0</v>
      </c>
    </row>
    <row r="7">
      <c r="A7" s="8" t="n">
        <v>2</v>
      </c>
      <c r="B7" s="8" t="inlineStr">
        <is>
          <t>Division 01 - General Conditions</t>
        </is>
      </c>
      <c r="C7" s="11" t="inlineStr">
        <is>
          <t>Temporary power pole, temp water service &amp; temporary toilet (4 months)</t>
        </is>
      </c>
      <c r="D7" s="24">
        <f>'Quantity Takeoff'!H7</f>
        <v>4.0</v>
      </c>
      <c r="E7" s="8" t="inlineStr">
        <is>
          <t>MO</t>
        </is>
      </c>
      <c r="F7" s="25" t="n">
        <v>480</v>
      </c>
      <c r="G7" s="26">
        <f>D7*F7</f>
        <v>1920.0</v>
      </c>
      <c r="H7" s="27" t="n">
        <v>2</v>
      </c>
      <c r="I7" s="28">
        <f>D7*H7</f>
        <v>8.0</v>
      </c>
      <c r="J7" s="29">
        <f>rate_mgmt</f>
        <v>95.0</v>
      </c>
      <c r="K7" s="26">
        <f>I7*J7</f>
        <v>760.0</v>
      </c>
      <c r="L7" s="25" t="n">
        <v>0</v>
      </c>
      <c r="M7" s="26">
        <f>D7*L7</f>
        <v>0.0</v>
      </c>
      <c r="N7" s="30">
        <f>G7+K7+M7</f>
        <v>2680.0</v>
      </c>
    </row>
    <row r="8">
      <c r="A8" s="8" t="n">
        <v>3</v>
      </c>
      <c r="B8" s="8" t="inlineStr">
        <is>
          <t>Division 01 - General Conditions</t>
        </is>
      </c>
      <c r="C8" s="11" t="inlineStr">
        <is>
          <t>Construction waste dumpsters (30 CY roll-off boxes, incl. tipping fees)</t>
        </is>
      </c>
      <c r="D8" s="24">
        <f>'Quantity Takeoff'!H8</f>
        <v>5.0</v>
      </c>
      <c r="E8" s="8" t="inlineStr">
        <is>
          <t>EA</t>
        </is>
      </c>
      <c r="F8" s="25" t="n">
        <v>680</v>
      </c>
      <c r="G8" s="26">
        <f>D8*F8</f>
        <v>3400.0</v>
      </c>
      <c r="H8" s="27" t="n">
        <v>0</v>
      </c>
      <c r="I8" s="28">
        <f>D8*H8</f>
        <v>0.0</v>
      </c>
      <c r="J8" s="29">
        <f>rate_mgmt</f>
        <v>95.0</v>
      </c>
      <c r="K8" s="26">
        <f>I8*J8</f>
        <v>0.0</v>
      </c>
      <c r="L8" s="25" t="n">
        <v>0</v>
      </c>
      <c r="M8" s="26">
        <f>D8*L8</f>
        <v>0.0</v>
      </c>
      <c r="N8" s="30">
        <f>G8+K8+M8</f>
        <v>3400.0</v>
      </c>
    </row>
    <row r="9">
      <c r="A9" s="8" t="n">
        <v>4</v>
      </c>
      <c r="B9" s="8" t="inlineStr">
        <is>
          <t>Division 01 - General Conditions</t>
        </is>
      </c>
      <c r="C9" s="11" t="inlineStr">
        <is>
          <t>Builder's risk insurance, plan review fees &amp; municipal building permits</t>
        </is>
      </c>
      <c r="D9" s="24">
        <f>'Quantity Takeoff'!H9</f>
        <v>1.0</v>
      </c>
      <c r="E9" s="8" t="inlineStr">
        <is>
          <t>LS</t>
        </is>
      </c>
      <c r="F9" s="25" t="n">
        <v>4600</v>
      </c>
      <c r="G9" s="26">
        <f>D9*F9</f>
        <v>4600.0</v>
      </c>
      <c r="H9" s="27" t="n">
        <v>8</v>
      </c>
      <c r="I9" s="28">
        <f>D9*H9</f>
        <v>8.0</v>
      </c>
      <c r="J9" s="29">
        <f>rate_mgmt</f>
        <v>95.0</v>
      </c>
      <c r="K9" s="26">
        <f>I9*J9</f>
        <v>760.0</v>
      </c>
      <c r="L9" s="25" t="n">
        <v>0</v>
      </c>
      <c r="M9" s="26">
        <f>D9*L9</f>
        <v>0.0</v>
      </c>
      <c r="N9" s="30">
        <f>G9+K9+M9</f>
        <v>5360.0</v>
      </c>
    </row>
    <row r="10">
      <c r="A10" s="8" t="n">
        <v>5</v>
      </c>
      <c r="B10" s="8" t="inlineStr">
        <is>
          <t>Division 01 - General Conditions</t>
        </is>
      </c>
      <c r="C10" s="11" t="inlineStr">
        <is>
          <t>Final construction detailing, deep cleaning &amp; window washing</t>
        </is>
      </c>
      <c r="D10" s="24">
        <f>'Quantity Takeoff'!H10</f>
        <v>2400.0</v>
      </c>
      <c r="E10" s="8" t="inlineStr">
        <is>
          <t>SF</t>
        </is>
      </c>
      <c r="F10" s="25" t="n">
        <v>0.15</v>
      </c>
      <c r="G10" s="26">
        <f>D10*F10</f>
        <v>360.0</v>
      </c>
      <c r="H10" s="27" t="n">
        <v>0.015</v>
      </c>
      <c r="I10" s="28">
        <f>D10*H10</f>
        <v>36.0</v>
      </c>
      <c r="J10" s="29">
        <f>rate_fin</f>
        <v>68.0</v>
      </c>
      <c r="K10" s="26">
        <f>I10*J10</f>
        <v>2448.0</v>
      </c>
      <c r="L10" s="25" t="n">
        <v>0</v>
      </c>
      <c r="M10" s="26">
        <f>D10*L10</f>
        <v>0.0</v>
      </c>
      <c r="N10" s="30">
        <f>G10+K10+M10</f>
        <v>2808.0</v>
      </c>
    </row>
    <row r="11">
      <c r="A11" s="8" t="n">
        <v>6</v>
      </c>
      <c r="B11" s="8" t="inlineStr">
        <is>
          <t>Division 02 &amp; 31 - Earthwork &amp; Site Clearing</t>
        </is>
      </c>
      <c r="C11" s="11" t="inlineStr">
        <is>
          <t>Site clearing, tree protection, construction entrance &amp; silt fence</t>
        </is>
      </c>
      <c r="D11" s="24">
        <f>'Quantity Takeoff'!H11</f>
        <v>1.0</v>
      </c>
      <c r="E11" s="8" t="inlineStr">
        <is>
          <t>LS</t>
        </is>
      </c>
      <c r="F11" s="25" t="n">
        <v>1400</v>
      </c>
      <c r="G11" s="26">
        <f>D11*F11</f>
        <v>1400.0</v>
      </c>
      <c r="H11" s="27" t="n">
        <v>16</v>
      </c>
      <c r="I11" s="28">
        <f>D11*H11</f>
        <v>16.0</v>
      </c>
      <c r="J11" s="29">
        <f>rate_earth</f>
        <v>82.0</v>
      </c>
      <c r="K11" s="26">
        <f>I11*J11</f>
        <v>1312.0</v>
      </c>
      <c r="L11" s="25" t="n">
        <v>1200</v>
      </c>
      <c r="M11" s="26">
        <f>D11*L11</f>
        <v>1200.0</v>
      </c>
      <c r="N11" s="30">
        <f>G11+K11+M11</f>
        <v>3912.0</v>
      </c>
    </row>
    <row r="12">
      <c r="A12" s="8" t="n">
        <v>7</v>
      </c>
      <c r="B12" s="8" t="inlineStr">
        <is>
          <t>Division 02 &amp; 31 - Earthwork &amp; Site Clearing</t>
        </is>
      </c>
      <c r="C12" s="11" t="inlineStr">
        <is>
          <t>Basement / crawlspace foundation excavation &amp; stockpile</t>
        </is>
      </c>
      <c r="D12" s="24">
        <f>'Quantity Takeoff'!H12</f>
        <v>195.55555555555557</v>
      </c>
      <c r="E12" s="8" t="inlineStr">
        <is>
          <t>CY</t>
        </is>
      </c>
      <c r="F12" s="25" t="n">
        <v>0</v>
      </c>
      <c r="G12" s="26">
        <f>D12*F12</f>
        <v>0.0</v>
      </c>
      <c r="H12" s="27" t="n">
        <v>0.06</v>
      </c>
      <c r="I12" s="28">
        <f>D12*H12</f>
        <v>11.733333333333334</v>
      </c>
      <c r="J12" s="29">
        <f>rate_earth</f>
        <v>82.0</v>
      </c>
      <c r="K12" s="26">
        <f>I12*J12</f>
        <v>962.1333333333334</v>
      </c>
      <c r="L12" s="25" t="n">
        <v>18.5</v>
      </c>
      <c r="M12" s="26">
        <f>D12*L12</f>
        <v>3617.7777777777783</v>
      </c>
      <c r="N12" s="30">
        <f>G12+K12+M12</f>
        <v>4579.9111111111115</v>
      </c>
    </row>
    <row r="13">
      <c r="A13" s="8" t="n">
        <v>8</v>
      </c>
      <c r="B13" s="8" t="inlineStr">
        <is>
          <t>Division 02 &amp; 31 - Earthwork &amp; Site Clearing</t>
        </is>
      </c>
      <c r="C13" s="11" t="inlineStr">
        <is>
          <t>Foundation backfill with onsite spoils &amp; rough site grading</t>
        </is>
      </c>
      <c r="D13" s="24">
        <f>'Quantity Takeoff'!H13</f>
        <v>115.55555555555556</v>
      </c>
      <c r="E13" s="8" t="inlineStr">
        <is>
          <t>CY</t>
        </is>
      </c>
      <c r="F13" s="25" t="n">
        <v>0</v>
      </c>
      <c r="G13" s="26">
        <f>D13*F13</f>
        <v>0.0</v>
      </c>
      <c r="H13" s="27" t="n">
        <v>0.05</v>
      </c>
      <c r="I13" s="28">
        <f>D13*H13</f>
        <v>5.777777777777779</v>
      </c>
      <c r="J13" s="29">
        <f>rate_earth</f>
        <v>82.0</v>
      </c>
      <c r="K13" s="26">
        <f>I13*J13</f>
        <v>473.7777777777778</v>
      </c>
      <c r="L13" s="25" t="n">
        <v>16</v>
      </c>
      <c r="M13" s="26">
        <f>D13*L13</f>
        <v>1848.888888888889</v>
      </c>
      <c r="N13" s="30">
        <f>G13+K13+M13</f>
        <v>2322.666666666667</v>
      </c>
    </row>
    <row r="14">
      <c r="A14" s="8" t="n">
        <v>9</v>
      </c>
      <c r="B14" s="8" t="inlineStr">
        <is>
          <t>Division 03 - Concrete Foundation &amp; Slabs</t>
        </is>
      </c>
      <c r="C14" s="11" t="inlineStr">
        <is>
          <t>Continuous footings 24" x 12" w/ 3 #5 rebar (3,000 psi concrete)</t>
        </is>
      </c>
      <c r="D14" s="24">
        <f>'Quantity Takeoff'!H14</f>
        <v>15.711111111111112</v>
      </c>
      <c r="E14" s="8" t="inlineStr">
        <is>
          <t>CY</t>
        </is>
      </c>
      <c r="F14" s="25" t="n">
        <v>165</v>
      </c>
      <c r="G14" s="26">
        <f>D14*F14</f>
        <v>2592.3333333333335</v>
      </c>
      <c r="H14" s="27" t="n">
        <v>0.55</v>
      </c>
      <c r="I14" s="28">
        <f>D14*H14</f>
        <v>8.641111111111112</v>
      </c>
      <c r="J14" s="29">
        <f>rate_conc</f>
        <v>70.0</v>
      </c>
      <c r="K14" s="26">
        <f>I14*J14</f>
        <v>604.8777777777779</v>
      </c>
      <c r="L14" s="25" t="n">
        <v>0</v>
      </c>
      <c r="M14" s="26">
        <f>D14*L14</f>
        <v>0.0</v>
      </c>
      <c r="N14" s="30">
        <f>G14+K14+M14</f>
        <v>3197.211111111111</v>
      </c>
    </row>
    <row r="15">
      <c r="A15" s="8" t="n">
        <v>10</v>
      </c>
      <c r="B15" s="8" t="inlineStr">
        <is>
          <t>Division 03 - Concrete Foundation &amp; Slabs</t>
        </is>
      </c>
      <c r="C15" s="11" t="inlineStr">
        <is>
          <t>8" Concrete stem wall / foundation wall 4'-0" frost depth</t>
        </is>
      </c>
      <c r="D15" s="24">
        <f>'Quantity Takeoff'!H15</f>
        <v>21.05288888888889</v>
      </c>
      <c r="E15" s="8" t="inlineStr">
        <is>
          <t>CY</t>
        </is>
      </c>
      <c r="F15" s="25" t="n">
        <v>170</v>
      </c>
      <c r="G15" s="26">
        <f>D15*F15</f>
        <v>3578.9911111111114</v>
      </c>
      <c r="H15" s="27" t="n">
        <v>0.75</v>
      </c>
      <c r="I15" s="28">
        <f>D15*H15</f>
        <v>15.789666666666669</v>
      </c>
      <c r="J15" s="29">
        <f>rate_conc</f>
        <v>70.0</v>
      </c>
      <c r="K15" s="26">
        <f>I15*J15</f>
        <v>1105.2766666666669</v>
      </c>
      <c r="L15" s="25" t="n">
        <v>0</v>
      </c>
      <c r="M15" s="26">
        <f>D15*L15</f>
        <v>0.0</v>
      </c>
      <c r="N15" s="30">
        <f>G15+K15+M15</f>
        <v>4684.267777777778</v>
      </c>
    </row>
    <row r="16">
      <c r="A16" s="8" t="n">
        <v>11</v>
      </c>
      <c r="B16" s="8" t="inlineStr">
        <is>
          <t>Division 03 - Concrete Foundation &amp; Slabs</t>
        </is>
      </c>
      <c r="C16" s="11" t="inlineStr">
        <is>
          <t>Foundation reinforcing steel (#4 &amp; #5 rebar, dowels, laps)</t>
        </is>
      </c>
      <c r="D16" s="24">
        <f>'Quantity Takeoff'!H16</f>
        <v>3570.0</v>
      </c>
      <c r="E16" s="8" t="inlineStr">
        <is>
          <t>LB</t>
        </is>
      </c>
      <c r="F16" s="25" t="n">
        <v>0.95</v>
      </c>
      <c r="G16" s="26">
        <f>D16*F16</f>
        <v>3391.5</v>
      </c>
      <c r="H16" s="27" t="n">
        <v>0.008</v>
      </c>
      <c r="I16" s="28">
        <f>D16*H16</f>
        <v>28.560000000000002</v>
      </c>
      <c r="J16" s="29">
        <f>rate_conc</f>
        <v>70.0</v>
      </c>
      <c r="K16" s="26">
        <f>I16*J16</f>
        <v>1999.2000000000003</v>
      </c>
      <c r="L16" s="25" t="n">
        <v>0</v>
      </c>
      <c r="M16" s="26">
        <f>D16*L16</f>
        <v>0.0</v>
      </c>
      <c r="N16" s="30">
        <f>G16+K16+M16</f>
        <v>5390.700000000001</v>
      </c>
    </row>
    <row r="17">
      <c r="A17" s="8" t="n">
        <v>12</v>
      </c>
      <c r="B17" s="8" t="inlineStr">
        <is>
          <t>Division 03 - Concrete Foundation &amp; Slabs</t>
        </is>
      </c>
      <c r="C17" s="11" t="inlineStr">
        <is>
          <t>4" Concrete floor slabs (basement &amp; garage, 3,500 psi w/ WWM)</t>
        </is>
      </c>
      <c r="D17" s="24">
        <f>'Quantity Takeoff'!H17</f>
        <v>21.648000000000007</v>
      </c>
      <c r="E17" s="8" t="inlineStr">
        <is>
          <t>CY</t>
        </is>
      </c>
      <c r="F17" s="25" t="n">
        <v>165</v>
      </c>
      <c r="G17" s="26">
        <f>D17*F17</f>
        <v>3571.920000000001</v>
      </c>
      <c r="H17" s="27" t="n">
        <v>0.45</v>
      </c>
      <c r="I17" s="28">
        <f>D17*H17</f>
        <v>9.741600000000004</v>
      </c>
      <c r="J17" s="29">
        <f>rate_conc</f>
        <v>70.0</v>
      </c>
      <c r="K17" s="26">
        <f>I17*J17</f>
        <v>681.9120000000003</v>
      </c>
      <c r="L17" s="25" t="n">
        <v>0</v>
      </c>
      <c r="M17" s="26">
        <f>D17*L17</f>
        <v>0.0</v>
      </c>
      <c r="N17" s="30">
        <f>G17+K17+M17</f>
        <v>4253.832000000001</v>
      </c>
    </row>
    <row r="18">
      <c r="A18" s="8" t="n">
        <v>13</v>
      </c>
      <c r="B18" s="8" t="inlineStr">
        <is>
          <t>Division 03 - Concrete Foundation &amp; Slabs</t>
        </is>
      </c>
      <c r="C18" s="11" t="inlineStr">
        <is>
          <t>4" Crushed stone capillary base &amp; 15-mil poly vapor barrier</t>
        </is>
      </c>
      <c r="D18" s="24">
        <f>'Quantity Takeoff'!H18</f>
        <v>1804.0000000000002</v>
      </c>
      <c r="E18" s="8" t="inlineStr">
        <is>
          <t>SF</t>
        </is>
      </c>
      <c r="F18" s="25" t="n">
        <v>0.75</v>
      </c>
      <c r="G18" s="26">
        <f>D18*F18</f>
        <v>1353.0000000000002</v>
      </c>
      <c r="H18" s="27" t="n">
        <v>0.008</v>
      </c>
      <c r="I18" s="28">
        <f>D18*H18</f>
        <v>14.432000000000002</v>
      </c>
      <c r="J18" s="29">
        <f>rate_conc</f>
        <v>70.0</v>
      </c>
      <c r="K18" s="26">
        <f>I18*J18</f>
        <v>1010.2400000000001</v>
      </c>
      <c r="L18" s="25" t="n">
        <v>0</v>
      </c>
      <c r="M18" s="26">
        <f>D18*L18</f>
        <v>0.0</v>
      </c>
      <c r="N18" s="30">
        <f>G18+K18+M18</f>
        <v>2363.2400000000002</v>
      </c>
    </row>
    <row r="19">
      <c r="A19" s="8" t="n">
        <v>14</v>
      </c>
      <c r="B19" s="8" t="inlineStr">
        <is>
          <t>Division 06 - Rough Framing &amp; Trusses</t>
        </is>
      </c>
      <c r="C19" s="11" t="inlineStr">
        <is>
          <t>Treated sill plates, anchor bolts &amp; 1st floor exterior/interior framing</t>
        </is>
      </c>
      <c r="D19" s="24">
        <f>'Quantity Takeoff'!H19</f>
        <v>1260.0</v>
      </c>
      <c r="E19" s="8" t="inlineStr">
        <is>
          <t>SF</t>
        </is>
      </c>
      <c r="F19" s="25" t="n">
        <v>7.8</v>
      </c>
      <c r="G19" s="26">
        <f>D19*F19</f>
        <v>9828.0</v>
      </c>
      <c r="H19" s="27" t="n">
        <v>0.12</v>
      </c>
      <c r="I19" s="28">
        <f>D19*H19</f>
        <v>151.2</v>
      </c>
      <c r="J19" s="29">
        <f>rate_carp</f>
        <v>72.0</v>
      </c>
      <c r="K19" s="26">
        <f>I19*J19</f>
        <v>10886.4</v>
      </c>
      <c r="L19" s="25" t="n">
        <v>0</v>
      </c>
      <c r="M19" s="26">
        <f>D19*L19</f>
        <v>0.0</v>
      </c>
      <c r="N19" s="30">
        <f>G19+K19+M19</f>
        <v>20714.4</v>
      </c>
    </row>
    <row r="20">
      <c r="A20" s="8" t="n">
        <v>15</v>
      </c>
      <c r="B20" s="8" t="inlineStr">
        <is>
          <t>Division 06 - Rough Framing &amp; Trusses</t>
        </is>
      </c>
      <c r="C20" s="11" t="inlineStr">
        <is>
          <t>2nd Floor engineered I-joist system with 3/4" T&amp;G subfloor glued/screwed</t>
        </is>
      </c>
      <c r="D20" s="24">
        <f>'Quantity Takeoff'!H20</f>
        <v>1260.0</v>
      </c>
      <c r="E20" s="8" t="inlineStr">
        <is>
          <t>SF</t>
        </is>
      </c>
      <c r="F20" s="25" t="n">
        <v>5.6</v>
      </c>
      <c r="G20" s="26">
        <f>D20*F20</f>
        <v>7056.0</v>
      </c>
      <c r="H20" s="27" t="n">
        <v>0.08</v>
      </c>
      <c r="I20" s="28">
        <f>D20*H20</f>
        <v>100.8</v>
      </c>
      <c r="J20" s="29">
        <f>rate_carp</f>
        <v>72.0</v>
      </c>
      <c r="K20" s="26">
        <f>I20*J20</f>
        <v>7257.599999999999</v>
      </c>
      <c r="L20" s="25" t="n">
        <v>0</v>
      </c>
      <c r="M20" s="26">
        <f>D20*L20</f>
        <v>0.0</v>
      </c>
      <c r="N20" s="30">
        <f>G20+K20+M20</f>
        <v>14313.599999999999</v>
      </c>
    </row>
    <row r="21">
      <c r="A21" s="8" t="n">
        <v>16</v>
      </c>
      <c r="B21" s="8" t="inlineStr">
        <is>
          <t>Division 06 - Rough Framing &amp; Trusses</t>
        </is>
      </c>
      <c r="C21" s="11" t="inlineStr">
        <is>
          <t>2nd Floor wall framing (2x6 ext, 2x4 int, double top plates)</t>
        </is>
      </c>
      <c r="D21" s="24">
        <f>'Quantity Takeoff'!H21</f>
        <v>1260.0</v>
      </c>
      <c r="E21" s="8" t="inlineStr">
        <is>
          <t>SF</t>
        </is>
      </c>
      <c r="F21" s="25" t="n">
        <v>6.4</v>
      </c>
      <c r="G21" s="26">
        <f>D21*F21</f>
        <v>8064.0</v>
      </c>
      <c r="H21" s="27" t="n">
        <v>0.11</v>
      </c>
      <c r="I21" s="28">
        <f>D21*H21</f>
        <v>138.6</v>
      </c>
      <c r="J21" s="29">
        <f>rate_carp</f>
        <v>72.0</v>
      </c>
      <c r="K21" s="26">
        <f>I21*J21</f>
        <v>9979.199999999999</v>
      </c>
      <c r="L21" s="25" t="n">
        <v>0</v>
      </c>
      <c r="M21" s="26">
        <f>D21*L21</f>
        <v>0.0</v>
      </c>
      <c r="N21" s="30">
        <f>G21+K21+M21</f>
        <v>18043.199999999997</v>
      </c>
    </row>
    <row r="22">
      <c r="A22" s="8" t="n">
        <v>17</v>
      </c>
      <c r="B22" s="8" t="inlineStr">
        <is>
          <t>Division 06 - Rough Framing &amp; Trusses</t>
        </is>
      </c>
      <c r="C22" s="11" t="inlineStr">
        <is>
          <t>Engineered roof trusses (6:12 pitch), crane set, bracing &amp; fascia</t>
        </is>
      </c>
      <c r="D22" s="24">
        <f>'Quantity Takeoff'!H22</f>
        <v>2257.5</v>
      </c>
      <c r="E22" s="8" t="inlineStr">
        <is>
          <t>SF</t>
        </is>
      </c>
      <c r="F22" s="25" t="n">
        <v>5.2</v>
      </c>
      <c r="G22" s="26">
        <f>D22*F22</f>
        <v>11739.0</v>
      </c>
      <c r="H22" s="27" t="n">
        <v>0.06</v>
      </c>
      <c r="I22" s="28">
        <f>D22*H22</f>
        <v>135.45</v>
      </c>
      <c r="J22" s="29">
        <f>rate_carp</f>
        <v>72.0</v>
      </c>
      <c r="K22" s="26">
        <f>I22*J22</f>
        <v>9752.4</v>
      </c>
      <c r="L22" s="25" t="n">
        <v>0</v>
      </c>
      <c r="M22" s="26">
        <f>D22*L22</f>
        <v>0.0</v>
      </c>
      <c r="N22" s="30">
        <f>G22+K22+M22</f>
        <v>21491.4</v>
      </c>
    </row>
    <row r="23">
      <c r="A23" s="8" t="n">
        <v>18</v>
      </c>
      <c r="B23" s="8" t="inlineStr">
        <is>
          <t>Division 06 - Rough Framing &amp; Trusses</t>
        </is>
      </c>
      <c r="C23" s="11" t="inlineStr">
        <is>
          <t>7/16" OSB wall sheathing &amp; 7/16" roof sheathing with H-clips</t>
        </is>
      </c>
      <c r="D23" s="24">
        <f>'Quantity Takeoff'!H23</f>
        <v>4914.0</v>
      </c>
      <c r="E23" s="8" t="inlineStr">
        <is>
          <t>SF</t>
        </is>
      </c>
      <c r="F23" s="25" t="n">
        <v>0.85</v>
      </c>
      <c r="G23" s="26">
        <f>D23*F23</f>
        <v>4176.9</v>
      </c>
      <c r="H23" s="27" t="n">
        <v>0.018</v>
      </c>
      <c r="I23" s="28">
        <f>D23*H23</f>
        <v>88.452</v>
      </c>
      <c r="J23" s="29">
        <f>rate_carp</f>
        <v>72.0</v>
      </c>
      <c r="K23" s="26">
        <f>I23*J23</f>
        <v>6368.544</v>
      </c>
      <c r="L23" s="25" t="n">
        <v>0</v>
      </c>
      <c r="M23" s="26">
        <f>D23*L23</f>
        <v>0.0</v>
      </c>
      <c r="N23" s="30">
        <f>G23+K23+M23</f>
        <v>10545.444</v>
      </c>
    </row>
    <row r="24">
      <c r="A24" s="8" t="n">
        <v>19</v>
      </c>
      <c r="B24" s="8" t="inlineStr">
        <is>
          <t>Division 06 - Rough Framing &amp; Trusses</t>
        </is>
      </c>
      <c r="C24" s="11" t="inlineStr">
        <is>
          <t>Interior trim: 5-1/4" baseboards, 3-1/2" casing &amp; wood window sills</t>
        </is>
      </c>
      <c r="D24" s="24">
        <f>'Quantity Takeoff'!H24</f>
        <v>2520.0</v>
      </c>
      <c r="E24" s="8" t="inlineStr">
        <is>
          <t>SF</t>
        </is>
      </c>
      <c r="F24" s="25" t="n">
        <v>1.85</v>
      </c>
      <c r="G24" s="26">
        <f>D24*F24</f>
        <v>4662.0</v>
      </c>
      <c r="H24" s="27" t="n">
        <v>0.035</v>
      </c>
      <c r="I24" s="28">
        <f>D24*H24</f>
        <v>88.2</v>
      </c>
      <c r="J24" s="29">
        <f>rate_carp</f>
        <v>72.0</v>
      </c>
      <c r="K24" s="26">
        <f>I24*J24</f>
        <v>6350.400000000001</v>
      </c>
      <c r="L24" s="25" t="n">
        <v>0</v>
      </c>
      <c r="M24" s="26">
        <f>D24*L24</f>
        <v>0.0</v>
      </c>
      <c r="N24" s="30">
        <f>G24+K24+M24</f>
        <v>11012.400000000001</v>
      </c>
    </row>
    <row r="25">
      <c r="A25" s="8" t="n">
        <v>20</v>
      </c>
      <c r="B25" s="8" t="inlineStr">
        <is>
          <t>Division 06 - Rough Framing &amp; Trusses</t>
        </is>
      </c>
      <c r="C25" s="11" t="inlineStr">
        <is>
          <t>Main staircase: oak treads, painted risers, newel posts &amp; railing</t>
        </is>
      </c>
      <c r="D25" s="24">
        <f>'Quantity Takeoff'!H25</f>
        <v>1.0</v>
      </c>
      <c r="E25" s="8" t="inlineStr">
        <is>
          <t>FLT</t>
        </is>
      </c>
      <c r="F25" s="25" t="n">
        <v>3800</v>
      </c>
      <c r="G25" s="26">
        <f>D25*F25</f>
        <v>3800.0</v>
      </c>
      <c r="H25" s="27" t="n">
        <v>24</v>
      </c>
      <c r="I25" s="28">
        <f>D25*H25</f>
        <v>24.0</v>
      </c>
      <c r="J25" s="29">
        <f>rate_carp</f>
        <v>72.0</v>
      </c>
      <c r="K25" s="26">
        <f>I25*J25</f>
        <v>1728.0</v>
      </c>
      <c r="L25" s="25" t="n">
        <v>0</v>
      </c>
      <c r="M25" s="26">
        <f>D25*L25</f>
        <v>0.0</v>
      </c>
      <c r="N25" s="30">
        <f>G25+K25+M25</f>
        <v>5528.0</v>
      </c>
    </row>
    <row r="26">
      <c r="A26" s="8" t="n">
        <v>21</v>
      </c>
      <c r="B26" s="8" t="inlineStr">
        <is>
          <t>Division 07 &amp; 08 - Exterior Envelope, Windows &amp; Doors</t>
        </is>
      </c>
      <c r="C26" s="11" t="inlineStr">
        <is>
          <t>Architectural asphalt shingles (30-yr dimensional w/ ice &amp; water shield)</t>
        </is>
      </c>
      <c r="D26" s="24">
        <f>'Quantity Takeoff'!H26</f>
        <v>2322.0</v>
      </c>
      <c r="E26" s="8" t="inlineStr">
        <is>
          <t>SF</t>
        </is>
      </c>
      <c r="F26" s="25" t="n">
        <v>1.65</v>
      </c>
      <c r="G26" s="26">
        <f>D26*F26</f>
        <v>3831.2999999999997</v>
      </c>
      <c r="H26" s="27" t="n">
        <v>0.035</v>
      </c>
      <c r="I26" s="28">
        <f>D26*H26</f>
        <v>81.27000000000001</v>
      </c>
      <c r="J26" s="29">
        <f>rate_carp</f>
        <v>72.0</v>
      </c>
      <c r="K26" s="26">
        <f>I26*J26</f>
        <v>5851.4400000000005</v>
      </c>
      <c r="L26" s="25" t="n">
        <v>0</v>
      </c>
      <c r="M26" s="26">
        <f>D26*L26</f>
        <v>0.0</v>
      </c>
      <c r="N26" s="30">
        <f>G26+K26+M26</f>
        <v>9682.74</v>
      </c>
    </row>
    <row r="27">
      <c r="A27" s="8" t="n">
        <v>22</v>
      </c>
      <c r="B27" s="8" t="inlineStr">
        <is>
          <t>Division 07 &amp; 08 - Exterior Envelope, Windows &amp; Doors</t>
        </is>
      </c>
      <c r="C27" s="11" t="inlineStr">
        <is>
          <t>Fiber-cement lap siding (HardiePlank 8-1/4" color-plus) &amp; housewrap</t>
        </is>
      </c>
      <c r="D27" s="24">
        <f>'Quantity Takeoff'!H27</f>
        <v>2268.0</v>
      </c>
      <c r="E27" s="8" t="inlineStr">
        <is>
          <t>SF</t>
        </is>
      </c>
      <c r="F27" s="25" t="n">
        <v>2.85</v>
      </c>
      <c r="G27" s="26">
        <f>D27*F27</f>
        <v>6463.8</v>
      </c>
      <c r="H27" s="27" t="n">
        <v>0.055</v>
      </c>
      <c r="I27" s="28">
        <f>D27*H27</f>
        <v>124.74</v>
      </c>
      <c r="J27" s="29">
        <f>rate_carp</f>
        <v>72.0</v>
      </c>
      <c r="K27" s="26">
        <f>I27*J27</f>
        <v>8981.279999999999</v>
      </c>
      <c r="L27" s="25" t="n">
        <v>0</v>
      </c>
      <c r="M27" s="26">
        <f>D27*L27</f>
        <v>0.0</v>
      </c>
      <c r="N27" s="30">
        <f>G27+K27+M27</f>
        <v>15445.079999999998</v>
      </c>
    </row>
    <row r="28">
      <c r="A28" s="8" t="n">
        <v>23</v>
      </c>
      <c r="B28" s="8" t="inlineStr">
        <is>
          <t>Division 07 &amp; 08 - Exterior Envelope, Windows &amp; Doors</t>
        </is>
      </c>
      <c r="C28" s="11" t="inlineStr">
        <is>
          <t>Manufactured stone veneer wainscot accent on front elevation</t>
        </is>
      </c>
      <c r="D28" s="24">
        <f>'Quantity Takeoff'!H28</f>
        <v>302.40000000000003</v>
      </c>
      <c r="E28" s="8" t="inlineStr">
        <is>
          <t>SF</t>
        </is>
      </c>
      <c r="F28" s="25" t="n">
        <v>8.5</v>
      </c>
      <c r="G28" s="26">
        <f>D28*F28</f>
        <v>2570.4</v>
      </c>
      <c r="H28" s="27" t="n">
        <v>0.18</v>
      </c>
      <c r="I28" s="28">
        <f>D28*H28</f>
        <v>54.432</v>
      </c>
      <c r="J28" s="29">
        <f>rate_conc</f>
        <v>70.0</v>
      </c>
      <c r="K28" s="26">
        <f>I28*J28</f>
        <v>3810.2400000000002</v>
      </c>
      <c r="L28" s="25" t="n">
        <v>0</v>
      </c>
      <c r="M28" s="26">
        <f>D28*L28</f>
        <v>0.0</v>
      </c>
      <c r="N28" s="30">
        <f>G28+K28+M28</f>
        <v>6380.64</v>
      </c>
    </row>
    <row r="29">
      <c r="A29" s="8" t="n">
        <v>24</v>
      </c>
      <c r="B29" s="8" t="inlineStr">
        <is>
          <t>Division 07 &amp; 08 - Exterior Envelope, Windows &amp; Doors</t>
        </is>
      </c>
      <c r="C29" s="11" t="inlineStr">
        <is>
          <t>5" Seamless aluminum gutters and 3x4 downspouts</t>
        </is>
      </c>
      <c r="D29" s="24">
        <f>'Quantity Takeoff'!H29</f>
        <v>189.0</v>
      </c>
      <c r="E29" s="8" t="inlineStr">
        <is>
          <t>LF</t>
        </is>
      </c>
      <c r="F29" s="25" t="n">
        <v>6.2</v>
      </c>
      <c r="G29" s="26">
        <f>D29*F29</f>
        <v>1171.8</v>
      </c>
      <c r="H29" s="27" t="n">
        <v>0.045</v>
      </c>
      <c r="I29" s="28">
        <f>D29*H29</f>
        <v>8.504999999999999</v>
      </c>
      <c r="J29" s="29">
        <f>rate_carp</f>
        <v>72.0</v>
      </c>
      <c r="K29" s="26">
        <f>I29*J29</f>
        <v>612.3599999999999</v>
      </c>
      <c r="L29" s="25" t="n">
        <v>0</v>
      </c>
      <c r="M29" s="26">
        <f>D29*L29</f>
        <v>0.0</v>
      </c>
      <c r="N29" s="30">
        <f>G29+K29+M29</f>
        <v>1784.1599999999999</v>
      </c>
    </row>
    <row r="30">
      <c r="A30" s="8" t="n">
        <v>25</v>
      </c>
      <c r="B30" s="8" t="inlineStr">
        <is>
          <t>Division 07 &amp; 08 - Exterior Envelope, Windows &amp; Doors</t>
        </is>
      </c>
      <c r="C30" s="11" t="inlineStr">
        <is>
          <t>Vinyl insulated windows: double-hung, Low-E argon, screens</t>
        </is>
      </c>
      <c r="D30" s="24">
        <f>'Quantity Takeoff'!H30</f>
        <v>20.0</v>
      </c>
      <c r="E30" s="8" t="inlineStr">
        <is>
          <t>EA</t>
        </is>
      </c>
      <c r="F30" s="25" t="n">
        <v>460</v>
      </c>
      <c r="G30" s="26">
        <f>D30*F30</f>
        <v>9200.0</v>
      </c>
      <c r="H30" s="27" t="n">
        <v>1.8</v>
      </c>
      <c r="I30" s="28">
        <f>D30*H30</f>
        <v>36.0</v>
      </c>
      <c r="J30" s="29">
        <f>rate_carp</f>
        <v>72.0</v>
      </c>
      <c r="K30" s="26">
        <f>I30*J30</f>
        <v>2592.0</v>
      </c>
      <c r="L30" s="25" t="n">
        <v>0</v>
      </c>
      <c r="M30" s="26">
        <f>D30*L30</f>
        <v>0.0</v>
      </c>
      <c r="N30" s="30">
        <f>G30+K30+M30</f>
        <v>11792.0</v>
      </c>
    </row>
    <row r="31">
      <c r="A31" s="8" t="n">
        <v>26</v>
      </c>
      <c r="B31" s="8" t="inlineStr">
        <is>
          <t>Division 07 &amp; 08 - Exterior Envelope, Windows &amp; Doors</t>
        </is>
      </c>
      <c r="C31" s="11" t="inlineStr">
        <is>
          <t>Exterior entry doors (insulated fiberglass w/ sidelite, service door)</t>
        </is>
      </c>
      <c r="D31" s="24">
        <f>'Quantity Takeoff'!H31</f>
        <v>3.0</v>
      </c>
      <c r="E31" s="8" t="inlineStr">
        <is>
          <t>EA</t>
        </is>
      </c>
      <c r="F31" s="25" t="n">
        <v>880</v>
      </c>
      <c r="G31" s="26">
        <f>D31*F31</f>
        <v>2640.0</v>
      </c>
      <c r="H31" s="27" t="n">
        <v>3.5</v>
      </c>
      <c r="I31" s="28">
        <f>D31*H31</f>
        <v>10.5</v>
      </c>
      <c r="J31" s="29">
        <f>rate_carp</f>
        <v>72.0</v>
      </c>
      <c r="K31" s="26">
        <f>I31*J31</f>
        <v>756.0</v>
      </c>
      <c r="L31" s="25" t="n">
        <v>0</v>
      </c>
      <c r="M31" s="26">
        <f>D31*L31</f>
        <v>0.0</v>
      </c>
      <c r="N31" s="30">
        <f>G31+K31+M31</f>
        <v>3396.0</v>
      </c>
    </row>
    <row r="32">
      <c r="A32" s="8" t="n">
        <v>27</v>
      </c>
      <c r="B32" s="8" t="inlineStr">
        <is>
          <t>Division 07 &amp; 08 - Exterior Envelope, Windows &amp; Doors</t>
        </is>
      </c>
      <c r="C32" s="11" t="inlineStr">
        <is>
          <t>16' x 7' Sectional insulated steel garage door with 1/2 HP opener</t>
        </is>
      </c>
      <c r="D32" s="24">
        <f>'Quantity Takeoff'!H32</f>
        <v>1.0</v>
      </c>
      <c r="E32" s="8" t="inlineStr">
        <is>
          <t>EA</t>
        </is>
      </c>
      <c r="F32" s="25" t="n">
        <v>1750</v>
      </c>
      <c r="G32" s="26">
        <f>D32*F32</f>
        <v>1750.0</v>
      </c>
      <c r="H32" s="27" t="n">
        <v>6</v>
      </c>
      <c r="I32" s="28">
        <f>D32*H32</f>
        <v>6.0</v>
      </c>
      <c r="J32" s="29">
        <f>rate_carp</f>
        <v>72.0</v>
      </c>
      <c r="K32" s="26">
        <f>I32*J32</f>
        <v>432.0</v>
      </c>
      <c r="L32" s="25" t="n">
        <v>0</v>
      </c>
      <c r="M32" s="26">
        <f>D32*L32</f>
        <v>0.0</v>
      </c>
      <c r="N32" s="30">
        <f>G32+K32+M32</f>
        <v>2182.0</v>
      </c>
    </row>
    <row r="33">
      <c r="A33" s="8" t="n">
        <v>28</v>
      </c>
      <c r="B33" s="8" t="inlineStr">
        <is>
          <t>Division 09 - Finishes</t>
        </is>
      </c>
      <c r="C33" s="11" t="inlineStr">
        <is>
          <t>Thermal insulation: R-21 fiberglass batts (walls), R-49 blown attic</t>
        </is>
      </c>
      <c r="D33" s="24">
        <f>'Quantity Takeoff'!H33</f>
        <v>2520.0</v>
      </c>
      <c r="E33" s="8" t="inlineStr">
        <is>
          <t>SF</t>
        </is>
      </c>
      <c r="F33" s="25" t="n">
        <v>1.45</v>
      </c>
      <c r="G33" s="26">
        <f>D33*F33</f>
        <v>3654.0</v>
      </c>
      <c r="H33" s="27" t="n">
        <v>0.02</v>
      </c>
      <c r="I33" s="28">
        <f>D33*H33</f>
        <v>50.4</v>
      </c>
      <c r="J33" s="29">
        <f>rate_fin</f>
        <v>68.0</v>
      </c>
      <c r="K33" s="26">
        <f>I33*J33</f>
        <v>3427.2</v>
      </c>
      <c r="L33" s="25" t="n">
        <v>0</v>
      </c>
      <c r="M33" s="26">
        <f>D33*L33</f>
        <v>0.0</v>
      </c>
      <c r="N33" s="30">
        <f>G33+K33+M33</f>
        <v>7081.2</v>
      </c>
    </row>
    <row r="34">
      <c r="A34" s="8" t="n">
        <v>29</v>
      </c>
      <c r="B34" s="8" t="inlineStr">
        <is>
          <t>Division 09 - Finishes</t>
        </is>
      </c>
      <c r="C34" s="11" t="inlineStr">
        <is>
          <t>1/2" Drywall throughout, taped and finished Level 4 ready for paint</t>
        </is>
      </c>
      <c r="D34" s="24">
        <f>'Quantity Takeoff'!H34</f>
        <v>9331.2</v>
      </c>
      <c r="E34" s="8" t="inlineStr">
        <is>
          <t>SF</t>
        </is>
      </c>
      <c r="F34" s="25" t="n">
        <v>0.62</v>
      </c>
      <c r="G34" s="26">
        <f>D34*F34</f>
        <v>5785.344</v>
      </c>
      <c r="H34" s="27" t="n">
        <v>0.032</v>
      </c>
      <c r="I34" s="28">
        <f>D34*H34</f>
        <v>298.5984</v>
      </c>
      <c r="J34" s="29">
        <f>rate_fin</f>
        <v>68.0</v>
      </c>
      <c r="K34" s="26">
        <f>I34*J34</f>
        <v>20304.6912</v>
      </c>
      <c r="L34" s="25" t="n">
        <v>0</v>
      </c>
      <c r="M34" s="26">
        <f>D34*L34</f>
        <v>0.0</v>
      </c>
      <c r="N34" s="30">
        <f>G34+K34+M34</f>
        <v>26090.035200000002</v>
      </c>
    </row>
    <row r="35">
      <c r="A35" s="8" t="n">
        <v>30</v>
      </c>
      <c r="B35" s="8" t="inlineStr">
        <is>
          <t>Division 09 - Finishes</t>
        </is>
      </c>
      <c r="C35" s="11" t="inlineStr">
        <is>
          <t>Interior painting: 1 coat PVA primer, 2 coats latex finish</t>
        </is>
      </c>
      <c r="D35" s="24">
        <f>'Quantity Takeoff'!H35</f>
        <v>9072.0</v>
      </c>
      <c r="E35" s="8" t="inlineStr">
        <is>
          <t>SF</t>
        </is>
      </c>
      <c r="F35" s="25" t="n">
        <v>0.25</v>
      </c>
      <c r="G35" s="26">
        <f>D35*F35</f>
        <v>2268.0</v>
      </c>
      <c r="H35" s="27" t="n">
        <v>0.022</v>
      </c>
      <c r="I35" s="28">
        <f>D35*H35</f>
        <v>199.58399999999997</v>
      </c>
      <c r="J35" s="29">
        <f>rate_fin</f>
        <v>68.0</v>
      </c>
      <c r="K35" s="26">
        <f>I35*J35</f>
        <v>13571.711999999998</v>
      </c>
      <c r="L35" s="25" t="n">
        <v>0</v>
      </c>
      <c r="M35" s="26">
        <f>D35*L35</f>
        <v>0.0</v>
      </c>
      <c r="N35" s="30">
        <f>G35+K35+M35</f>
        <v>15839.711999999998</v>
      </c>
    </row>
    <row r="36">
      <c r="A36" s="8" t="n">
        <v>31</v>
      </c>
      <c r="B36" s="8" t="inlineStr">
        <is>
          <t>Division 09 - Finishes</t>
        </is>
      </c>
      <c r="C36" s="11" t="inlineStr">
        <is>
          <t>Engineered hardwood flooring (living, kitchen, foyer, hallways)</t>
        </is>
      </c>
      <c r="D36" s="24">
        <f>'Quantity Takeoff'!H36</f>
        <v>1350.0</v>
      </c>
      <c r="E36" s="8" t="inlineStr">
        <is>
          <t>SF</t>
        </is>
      </c>
      <c r="F36" s="25" t="n">
        <v>4.8</v>
      </c>
      <c r="G36" s="26">
        <f>D36*F36</f>
        <v>6480.0</v>
      </c>
      <c r="H36" s="27" t="n">
        <v>0.04</v>
      </c>
      <c r="I36" s="28">
        <f>D36*H36</f>
        <v>54.0</v>
      </c>
      <c r="J36" s="29">
        <f>rate_fin</f>
        <v>68.0</v>
      </c>
      <c r="K36" s="26">
        <f>I36*J36</f>
        <v>3672.0</v>
      </c>
      <c r="L36" s="25" t="n">
        <v>0</v>
      </c>
      <c r="M36" s="26">
        <f>D36*L36</f>
        <v>0.0</v>
      </c>
      <c r="N36" s="30">
        <f>G36+K36+M36</f>
        <v>10152.0</v>
      </c>
    </row>
    <row r="37">
      <c r="A37" s="8" t="n">
        <v>32</v>
      </c>
      <c r="B37" s="8" t="inlineStr">
        <is>
          <t>Division 09 - Finishes</t>
        </is>
      </c>
      <c r="C37" s="11" t="inlineStr">
        <is>
          <t>Stain-resistant carpet with 8 lb rebond pad (bedrooms &amp; stairs)</t>
        </is>
      </c>
      <c r="D37" s="24">
        <f>'Quantity Takeoff'!H37</f>
        <v>918.0000000000001</v>
      </c>
      <c r="E37" s="8" t="inlineStr">
        <is>
          <t>SF</t>
        </is>
      </c>
      <c r="F37" s="25" t="n">
        <v>2.9</v>
      </c>
      <c r="G37" s="26">
        <f>D37*F37</f>
        <v>2662.2000000000003</v>
      </c>
      <c r="H37" s="27" t="n">
        <v>0.025</v>
      </c>
      <c r="I37" s="28">
        <f>D37*H37</f>
        <v>22.950000000000003</v>
      </c>
      <c r="J37" s="29">
        <f>rate_fin</f>
        <v>68.0</v>
      </c>
      <c r="K37" s="26">
        <f>I37*J37</f>
        <v>1560.6000000000001</v>
      </c>
      <c r="L37" s="25" t="n">
        <v>0</v>
      </c>
      <c r="M37" s="26">
        <f>D37*L37</f>
        <v>0.0</v>
      </c>
      <c r="N37" s="30">
        <f>G37+K37+M37</f>
        <v>4222.8</v>
      </c>
    </row>
    <row r="38">
      <c r="A38" s="8" t="n">
        <v>33</v>
      </c>
      <c r="B38" s="8" t="inlineStr">
        <is>
          <t>Division 09 - Finishes</t>
        </is>
      </c>
      <c r="C38" s="11" t="inlineStr">
        <is>
          <t>Porcelain tile flooring (bathrooms, laundry room)</t>
        </is>
      </c>
      <c r="D38" s="24">
        <f>'Quantity Takeoff'!H38</f>
        <v>330.0</v>
      </c>
      <c r="E38" s="8" t="inlineStr">
        <is>
          <t>SF</t>
        </is>
      </c>
      <c r="F38" s="25" t="n">
        <v>5.5</v>
      </c>
      <c r="G38" s="26">
        <f>D38*F38</f>
        <v>1815.0</v>
      </c>
      <c r="H38" s="27" t="n">
        <v>0.075</v>
      </c>
      <c r="I38" s="28">
        <f>D38*H38</f>
        <v>24.75</v>
      </c>
      <c r="J38" s="29">
        <f>rate_fin</f>
        <v>68.0</v>
      </c>
      <c r="K38" s="26">
        <f>I38*J38</f>
        <v>1683.0</v>
      </c>
      <c r="L38" s="25" t="n">
        <v>0</v>
      </c>
      <c r="M38" s="26">
        <f>D38*L38</f>
        <v>0.0</v>
      </c>
      <c r="N38" s="30">
        <f>G38+K38+M38</f>
        <v>3498.0</v>
      </c>
    </row>
    <row r="39">
      <c r="A39" s="8" t="n">
        <v>34</v>
      </c>
      <c r="B39" s="8" t="inlineStr">
        <is>
          <t>Division 10, 11 &amp; 12 - Cabinets, Countertops &amp; Specialties</t>
        </is>
      </c>
      <c r="C39" s="11" t="inlineStr">
        <is>
          <t>Kitchen &amp; vanity cabinetry: all-wood shaker style, soft-close</t>
        </is>
      </c>
      <c r="D39" s="24">
        <f>'Quantity Takeoff'!H39</f>
        <v>36.0</v>
      </c>
      <c r="E39" s="8" t="inlineStr">
        <is>
          <t>LF</t>
        </is>
      </c>
      <c r="F39" s="25" t="n">
        <v>285</v>
      </c>
      <c r="G39" s="26">
        <f>D39*F39</f>
        <v>10260.0</v>
      </c>
      <c r="H39" s="27" t="n">
        <v>1.2</v>
      </c>
      <c r="I39" s="28">
        <f>D39*H39</f>
        <v>43.199999999999996</v>
      </c>
      <c r="J39" s="29">
        <f>rate_carp</f>
        <v>72.0</v>
      </c>
      <c r="K39" s="26">
        <f>I39*J39</f>
        <v>3110.3999999999996</v>
      </c>
      <c r="L39" s="25" t="n">
        <v>0</v>
      </c>
      <c r="M39" s="26">
        <f>D39*L39</f>
        <v>0.0</v>
      </c>
      <c r="N39" s="30">
        <f>G39+K39+M39</f>
        <v>13370.4</v>
      </c>
    </row>
    <row r="40">
      <c r="A40" s="8" t="n">
        <v>35</v>
      </c>
      <c r="B40" s="8" t="inlineStr">
        <is>
          <t>Division 10, 11 &amp; 12 - Cabinets, Countertops &amp; Specialties</t>
        </is>
      </c>
      <c r="C40" s="11" t="inlineStr">
        <is>
          <t>Quartz countertops (kitchen island, perimeter, vanity tops)</t>
        </is>
      </c>
      <c r="D40" s="24">
        <f>'Quantity Takeoff'!H40</f>
        <v>89.25</v>
      </c>
      <c r="E40" s="8" t="inlineStr">
        <is>
          <t>SF</t>
        </is>
      </c>
      <c r="F40" s="25" t="n">
        <v>78</v>
      </c>
      <c r="G40" s="26">
        <f>D40*F40</f>
        <v>6961.5</v>
      </c>
      <c r="H40" s="27" t="n">
        <v>0.35</v>
      </c>
      <c r="I40" s="28">
        <f>D40*H40</f>
        <v>31.237499999999997</v>
      </c>
      <c r="J40" s="29">
        <f>rate_carp</f>
        <v>72.0</v>
      </c>
      <c r="K40" s="26">
        <f>I40*J40</f>
        <v>2249.1</v>
      </c>
      <c r="L40" s="25" t="n">
        <v>0</v>
      </c>
      <c r="M40" s="26">
        <f>D40*L40</f>
        <v>0.0</v>
      </c>
      <c r="N40" s="30">
        <f>G40+K40+M40</f>
        <v>9210.6</v>
      </c>
    </row>
    <row r="41">
      <c r="A41" s="8" t="n">
        <v>36</v>
      </c>
      <c r="B41" s="8" t="inlineStr">
        <is>
          <t>Division 10, 11 &amp; 12 - Cabinets, Countertops &amp; Specialties</t>
        </is>
      </c>
      <c r="C41" s="11" t="inlineStr">
        <is>
          <t>Kitchen appliances package (gas/electric range, microwave, dishwasher, disposal)</t>
        </is>
      </c>
      <c r="D41" s="24">
        <f>'Quantity Takeoff'!H41</f>
        <v>1.0</v>
      </c>
      <c r="E41" s="8" t="inlineStr">
        <is>
          <t>LS</t>
        </is>
      </c>
      <c r="F41" s="25" t="n">
        <v>3400</v>
      </c>
      <c r="G41" s="26">
        <f>D41*F41</f>
        <v>3400.0</v>
      </c>
      <c r="H41" s="27" t="n">
        <v>6</v>
      </c>
      <c r="I41" s="28">
        <f>D41*H41</f>
        <v>6.0</v>
      </c>
      <c r="J41" s="29">
        <f>rate_mep</f>
        <v>85.0</v>
      </c>
      <c r="K41" s="26">
        <f>I41*J41</f>
        <v>510.0</v>
      </c>
      <c r="L41" s="25" t="n">
        <v>0</v>
      </c>
      <c r="M41" s="26">
        <f>D41*L41</f>
        <v>0.0</v>
      </c>
      <c r="N41" s="30">
        <f>G41+K41+M41</f>
        <v>3910.0</v>
      </c>
    </row>
    <row r="42">
      <c r="A42" s="8" t="n">
        <v>37</v>
      </c>
      <c r="B42" s="8" t="inlineStr">
        <is>
          <t>Division 10, 11 &amp; 12 - Cabinets, Countertops &amp; Specialties</t>
        </is>
      </c>
      <c r="C42" s="11" t="inlineStr">
        <is>
          <t>Bathroom accessories, framed vanity mirrors &amp; wire closet shelving</t>
        </is>
      </c>
      <c r="D42" s="24">
        <f>'Quantity Takeoff'!H42</f>
        <v>1.0</v>
      </c>
      <c r="E42" s="8" t="inlineStr">
        <is>
          <t>LS</t>
        </is>
      </c>
      <c r="F42" s="25" t="n">
        <v>1650</v>
      </c>
      <c r="G42" s="26">
        <f>D42*F42</f>
        <v>1650.0</v>
      </c>
      <c r="H42" s="27" t="n">
        <v>12</v>
      </c>
      <c r="I42" s="28">
        <f>D42*H42</f>
        <v>12.0</v>
      </c>
      <c r="J42" s="29">
        <f>rate_carp</f>
        <v>72.0</v>
      </c>
      <c r="K42" s="26">
        <f>I42*J42</f>
        <v>864.0</v>
      </c>
      <c r="L42" s="25" t="n">
        <v>0</v>
      </c>
      <c r="M42" s="26">
        <f>D42*L42</f>
        <v>0.0</v>
      </c>
      <c r="N42" s="30">
        <f>G42+K42+M42</f>
        <v>2514.0</v>
      </c>
    </row>
    <row r="43">
      <c r="A43" s="8" t="n">
        <v>38</v>
      </c>
      <c r="B43" s="8" t="inlineStr">
        <is>
          <t>Division 10, 11 &amp; 12 - Cabinets, Countertops &amp; Specialties</t>
        </is>
      </c>
      <c r="C43" s="11" t="inlineStr">
        <is>
          <t>Interior hollow-core 2-panel doors prehung with brushed nickel levers</t>
        </is>
      </c>
      <c r="D43" s="24">
        <f>'Quantity Takeoff'!H43</f>
        <v>16.0</v>
      </c>
      <c r="E43" s="8" t="inlineStr">
        <is>
          <t>EA</t>
        </is>
      </c>
      <c r="F43" s="25" t="n">
        <v>145</v>
      </c>
      <c r="G43" s="26">
        <f>D43*F43</f>
        <v>2320.0</v>
      </c>
      <c r="H43" s="27" t="n">
        <v>1.2</v>
      </c>
      <c r="I43" s="28">
        <f>D43*H43</f>
        <v>19.2</v>
      </c>
      <c r="J43" s="29">
        <f>rate_carp</f>
        <v>72.0</v>
      </c>
      <c r="K43" s="26">
        <f>I43*J43</f>
        <v>1382.3999999999999</v>
      </c>
      <c r="L43" s="25" t="n">
        <v>0</v>
      </c>
      <c r="M43" s="26">
        <f>D43*L43</f>
        <v>0.0</v>
      </c>
      <c r="N43" s="30">
        <f>G43+K43+M43</f>
        <v>3702.3999999999996</v>
      </c>
    </row>
    <row r="44">
      <c r="A44" s="8" t="n">
        <v>39</v>
      </c>
      <c r="B44" s="8" t="inlineStr">
        <is>
          <t>Division 22, 23 &amp; 26 - Mechanical, Electrical &amp; Plumbing</t>
        </is>
      </c>
      <c r="C44" s="11" t="inlineStr">
        <is>
          <t>Complete residential plumbing package (PEX supply, PVC DWV, 2.5 baths)</t>
        </is>
      </c>
      <c r="D44" s="24">
        <f>'Quantity Takeoff'!H44</f>
        <v>1.0</v>
      </c>
      <c r="E44" s="8" t="inlineStr">
        <is>
          <t>LS</t>
        </is>
      </c>
      <c r="F44" s="25" t="n">
        <v>9400</v>
      </c>
      <c r="G44" s="26">
        <f>D44*F44</f>
        <v>9400.0</v>
      </c>
      <c r="H44" s="27" t="n">
        <v>120</v>
      </c>
      <c r="I44" s="28">
        <f>D44*H44</f>
        <v>120.0</v>
      </c>
      <c r="J44" s="29">
        <f>rate_mep</f>
        <v>85.0</v>
      </c>
      <c r="K44" s="26">
        <f>I44*J44</f>
        <v>10200.0</v>
      </c>
      <c r="L44" s="25" t="n">
        <v>0</v>
      </c>
      <c r="M44" s="26">
        <f>D44*L44</f>
        <v>0.0</v>
      </c>
      <c r="N44" s="30">
        <f>G44+K44+M44</f>
        <v>19600.0</v>
      </c>
    </row>
    <row r="45">
      <c r="A45" s="8" t="n">
        <v>40</v>
      </c>
      <c r="B45" s="8" t="inlineStr">
        <is>
          <t>Division 22, 23 &amp; 26 - Mechanical, Electrical &amp; Plumbing</t>
        </is>
      </c>
      <c r="C45" s="11" t="inlineStr">
        <is>
          <t>Plumbing fixtures package (toilets, fiberglass tub/shower, lavs, kitchen sink)</t>
        </is>
      </c>
      <c r="D45" s="24">
        <f>'Quantity Takeoff'!H45</f>
        <v>1.0</v>
      </c>
      <c r="E45" s="8" t="inlineStr">
        <is>
          <t>LS</t>
        </is>
      </c>
      <c r="F45" s="25" t="n">
        <v>4800</v>
      </c>
      <c r="G45" s="26">
        <f>D45*F45</f>
        <v>4800.0</v>
      </c>
      <c r="H45" s="27" t="n">
        <v>32</v>
      </c>
      <c r="I45" s="28">
        <f>D45*H45</f>
        <v>32.0</v>
      </c>
      <c r="J45" s="29">
        <f>rate_mep</f>
        <v>85.0</v>
      </c>
      <c r="K45" s="26">
        <f>I45*J45</f>
        <v>2720.0</v>
      </c>
      <c r="L45" s="25" t="n">
        <v>0</v>
      </c>
      <c r="M45" s="26">
        <f>D45*L45</f>
        <v>0.0</v>
      </c>
      <c r="N45" s="30">
        <f>G45+K45+M45</f>
        <v>7520.0</v>
      </c>
    </row>
    <row r="46">
      <c r="A46" s="8" t="n">
        <v>41</v>
      </c>
      <c r="B46" s="8" t="inlineStr">
        <is>
          <t>Division 22, 23 &amp; 26 - Mechanical, Electrical &amp; Plumbing</t>
        </is>
      </c>
      <c r="C46" s="11" t="inlineStr">
        <is>
          <t>50-Gallon hybrid electric heat pump water heater</t>
        </is>
      </c>
      <c r="D46" s="24">
        <f>'Quantity Takeoff'!H46</f>
        <v>1.0</v>
      </c>
      <c r="E46" s="8" t="inlineStr">
        <is>
          <t>EA</t>
        </is>
      </c>
      <c r="F46" s="25" t="n">
        <v>1850</v>
      </c>
      <c r="G46" s="26">
        <f>D46*F46</f>
        <v>1850.0</v>
      </c>
      <c r="H46" s="27" t="n">
        <v>6</v>
      </c>
      <c r="I46" s="28">
        <f>D46*H46</f>
        <v>6.0</v>
      </c>
      <c r="J46" s="29">
        <f>rate_mep</f>
        <v>85.0</v>
      </c>
      <c r="K46" s="26">
        <f>I46*J46</f>
        <v>510.0</v>
      </c>
      <c r="L46" s="25" t="n">
        <v>0</v>
      </c>
      <c r="M46" s="26">
        <f>D46*L46</f>
        <v>0.0</v>
      </c>
      <c r="N46" s="30">
        <f>G46+K46+M46</f>
        <v>2360.0</v>
      </c>
    </row>
    <row r="47">
      <c r="A47" s="8" t="n">
        <v>42</v>
      </c>
      <c r="B47" s="8" t="inlineStr">
        <is>
          <t>Division 22, 23 &amp; 26 - Mechanical, Electrical &amp; Plumbing</t>
        </is>
      </c>
      <c r="C47" s="11" t="inlineStr">
        <is>
          <t>3.5-Ton 16 SEER2 heat pump split system with ductwork &amp; digital thermostat</t>
        </is>
      </c>
      <c r="D47" s="24">
        <f>'Quantity Takeoff'!H47</f>
        <v>1.0</v>
      </c>
      <c r="E47" s="8" t="inlineStr">
        <is>
          <t>LS</t>
        </is>
      </c>
      <c r="F47" s="25" t="n">
        <v>11200</v>
      </c>
      <c r="G47" s="26">
        <f>D47*F47</f>
        <v>11200.0</v>
      </c>
      <c r="H47" s="27" t="n">
        <v>75</v>
      </c>
      <c r="I47" s="28">
        <f>D47*H47</f>
        <v>75.0</v>
      </c>
      <c r="J47" s="29">
        <f>rate_mep</f>
        <v>85.0</v>
      </c>
      <c r="K47" s="26">
        <f>I47*J47</f>
        <v>6375.0</v>
      </c>
      <c r="L47" s="25" t="n">
        <v>0</v>
      </c>
      <c r="M47" s="26">
        <f>D47*L47</f>
        <v>0.0</v>
      </c>
      <c r="N47" s="30">
        <f>G47+K47+M47</f>
        <v>17575.0</v>
      </c>
    </row>
    <row r="48">
      <c r="A48" s="8" t="n">
        <v>43</v>
      </c>
      <c r="B48" s="8" t="inlineStr">
        <is>
          <t>Division 22, 23 &amp; 26 - Mechanical, Electrical &amp; Plumbing</t>
        </is>
      </c>
      <c r="C48" s="11" t="inlineStr">
        <is>
          <t>Bath exhaust ventilation fans (3 ea) &amp; dryer vent exhaust duct</t>
        </is>
      </c>
      <c r="D48" s="24">
        <f>'Quantity Takeoff'!H48</f>
        <v>1.0</v>
      </c>
      <c r="E48" s="8" t="inlineStr">
        <is>
          <t>LS</t>
        </is>
      </c>
      <c r="F48" s="25" t="n">
        <v>580</v>
      </c>
      <c r="G48" s="26">
        <f>D48*F48</f>
        <v>580.0</v>
      </c>
      <c r="H48" s="27" t="n">
        <v>10</v>
      </c>
      <c r="I48" s="28">
        <f>D48*H48</f>
        <v>10.0</v>
      </c>
      <c r="J48" s="29">
        <f>rate_mep</f>
        <v>85.0</v>
      </c>
      <c r="K48" s="26">
        <f>I48*J48</f>
        <v>850.0</v>
      </c>
      <c r="L48" s="25" t="n">
        <v>0</v>
      </c>
      <c r="M48" s="26">
        <f>D48*L48</f>
        <v>0.0</v>
      </c>
      <c r="N48" s="30">
        <f>G48+K48+M48</f>
        <v>1430.0</v>
      </c>
    </row>
    <row r="49">
      <c r="A49" s="8" t="n">
        <v>44</v>
      </c>
      <c r="B49" s="8" t="inlineStr">
        <is>
          <t>Division 22, 23 &amp; 26 - Mechanical, Electrical &amp; Plumbing</t>
        </is>
      </c>
      <c r="C49" s="11" t="inlineStr">
        <is>
          <t>200 A Service panel, complete branch circuit wiring (Romex) &amp; devices</t>
        </is>
      </c>
      <c r="D49" s="24">
        <f>'Quantity Takeoff'!H49</f>
        <v>2400.0</v>
      </c>
      <c r="E49" s="8" t="inlineStr">
        <is>
          <t>SF</t>
        </is>
      </c>
      <c r="F49" s="25" t="n">
        <v>3.85</v>
      </c>
      <c r="G49" s="26">
        <f>D49*F49</f>
        <v>9240.0</v>
      </c>
      <c r="H49" s="27" t="n">
        <v>0.065</v>
      </c>
      <c r="I49" s="28">
        <f>D49*H49</f>
        <v>156.0</v>
      </c>
      <c r="J49" s="29">
        <f>rate_mep</f>
        <v>85.0</v>
      </c>
      <c r="K49" s="26">
        <f>I49*J49</f>
        <v>13260.0</v>
      </c>
      <c r="L49" s="25" t="n">
        <v>0</v>
      </c>
      <c r="M49" s="26">
        <f>D49*L49</f>
        <v>0.0</v>
      </c>
      <c r="N49" s="30">
        <f>G49+K49+M49</f>
        <v>22500.0</v>
      </c>
    </row>
    <row r="50">
      <c r="A50" s="8" t="n">
        <v>45</v>
      </c>
      <c r="B50" s="8" t="inlineStr">
        <is>
          <t>Division 22, 23 &amp; 26 - Mechanical, Electrical &amp; Plumbing</t>
        </is>
      </c>
      <c r="C50" s="11" t="inlineStr">
        <is>
          <t>Lighting fixtures package: LED wafer downlights (32 ea) + decorative fixtures</t>
        </is>
      </c>
      <c r="D50" s="24">
        <f>'Quantity Takeoff'!H50</f>
        <v>1.0</v>
      </c>
      <c r="E50" s="8" t="inlineStr">
        <is>
          <t>LS</t>
        </is>
      </c>
      <c r="F50" s="25" t="n">
        <v>3200</v>
      </c>
      <c r="G50" s="26">
        <f>D50*F50</f>
        <v>3200.0</v>
      </c>
      <c r="H50" s="27" t="n">
        <v>24</v>
      </c>
      <c r="I50" s="28">
        <f>D50*H50</f>
        <v>24.0</v>
      </c>
      <c r="J50" s="29">
        <f>rate_mep</f>
        <v>85.0</v>
      </c>
      <c r="K50" s="26">
        <f>I50*J50</f>
        <v>2040.0</v>
      </c>
      <c r="L50" s="25" t="n">
        <v>0</v>
      </c>
      <c r="M50" s="26">
        <f>D50*L50</f>
        <v>0.0</v>
      </c>
      <c r="N50" s="30">
        <f>G50+K50+M50</f>
        <v>5240.0</v>
      </c>
    </row>
    <row r="51">
      <c r="A51" s="8" t="n">
        <v>46</v>
      </c>
      <c r="B51" s="8" t="inlineStr">
        <is>
          <t>Division 22, 23 &amp; 26 - Mechanical, Electrical &amp; Plumbing</t>
        </is>
      </c>
      <c r="C51" s="11" t="inlineStr">
        <is>
          <t>Hardwired smoke &amp; carbon monoxide detector system w/ battery backup</t>
        </is>
      </c>
      <c r="D51" s="24">
        <f>'Quantity Takeoff'!H51</f>
        <v>8.0</v>
      </c>
      <c r="E51" s="8" t="inlineStr">
        <is>
          <t>EA</t>
        </is>
      </c>
      <c r="F51" s="25" t="n">
        <v>65</v>
      </c>
      <c r="G51" s="26">
        <f>D51*F51</f>
        <v>520.0</v>
      </c>
      <c r="H51" s="27" t="n">
        <v>0.8</v>
      </c>
      <c r="I51" s="28">
        <f>D51*H51</f>
        <v>6.4</v>
      </c>
      <c r="J51" s="29">
        <f>rate_mep</f>
        <v>85.0</v>
      </c>
      <c r="K51" s="26">
        <f>I51*J51</f>
        <v>544.0</v>
      </c>
      <c r="L51" s="25" t="n">
        <v>0</v>
      </c>
      <c r="M51" s="26">
        <f>D51*L51</f>
        <v>0.0</v>
      </c>
      <c r="N51" s="30">
        <f>G51+K51+M51</f>
        <v>1064.0</v>
      </c>
    </row>
    <row r="52">
      <c r="A52" s="8" t="n">
        <v>47</v>
      </c>
      <c r="B52" s="8" t="inlineStr">
        <is>
          <t>Division 32 &amp; 33 - Exterior Improvements &amp; Site Utilities</t>
        </is>
      </c>
      <c r="C52" s="11" t="inlineStr">
        <is>
          <t>4" Concrete driveway (20' x 30') and front entry walkway (4,000 psi broom finish)</t>
        </is>
      </c>
      <c r="D52" s="24">
        <f>'Quantity Takeoff'!H52</f>
        <v>734.4000000000001</v>
      </c>
      <c r="E52" s="8" t="inlineStr">
        <is>
          <t>SF</t>
        </is>
      </c>
      <c r="F52" s="25" t="n">
        <v>3.4</v>
      </c>
      <c r="G52" s="26">
        <f>D52*F52</f>
        <v>2496.96</v>
      </c>
      <c r="H52" s="27" t="n">
        <v>0.045</v>
      </c>
      <c r="I52" s="28">
        <f>D52*H52</f>
        <v>33.048</v>
      </c>
      <c r="J52" s="29">
        <f>rate_conc</f>
        <v>70.0</v>
      </c>
      <c r="K52" s="26">
        <f>I52*J52</f>
        <v>2313.36</v>
      </c>
      <c r="L52" s="25" t="n">
        <v>0</v>
      </c>
      <c r="M52" s="26">
        <f>D52*L52</f>
        <v>0.0</v>
      </c>
      <c r="N52" s="30">
        <f>G52+K52+M52</f>
        <v>4810.32</v>
      </c>
    </row>
    <row r="53">
      <c r="A53" s="8" t="n">
        <v>48</v>
      </c>
      <c r="B53" s="8" t="inlineStr">
        <is>
          <t>Division 32 &amp; 33 - Exterior Improvements &amp; Site Utilities</t>
        </is>
      </c>
      <c r="C53" s="11" t="inlineStr">
        <is>
          <t>Final site fine grading, topsoil seed &amp; straw (disturbed area)</t>
        </is>
      </c>
      <c r="D53" s="24">
        <f>'Quantity Takeoff'!H53</f>
        <v>6825.0</v>
      </c>
      <c r="E53" s="8" t="inlineStr">
        <is>
          <t>SF</t>
        </is>
      </c>
      <c r="F53" s="25" t="n">
        <v>0.18</v>
      </c>
      <c r="G53" s="26">
        <f>D53*F53</f>
        <v>1228.5</v>
      </c>
      <c r="H53" s="27" t="n">
        <v>0.004</v>
      </c>
      <c r="I53" s="28">
        <f>D53*H53</f>
        <v>27.3</v>
      </c>
      <c r="J53" s="29">
        <f>rate_earth</f>
        <v>82.0</v>
      </c>
      <c r="K53" s="26">
        <f>I53*J53</f>
        <v>2238.6</v>
      </c>
      <c r="L53" s="25" t="n">
        <v>0</v>
      </c>
      <c r="M53" s="26">
        <f>D53*L53</f>
        <v>0.0</v>
      </c>
      <c r="N53" s="30">
        <f>G53+K53+M53</f>
        <v>3467.1</v>
      </c>
    </row>
    <row r="54">
      <c r="A54" s="8" t="n">
        <v>49</v>
      </c>
      <c r="B54" s="8" t="inlineStr">
        <is>
          <t>Division 32 &amp; 33 - Exterior Improvements &amp; Site Utilities</t>
        </is>
      </c>
      <c r="C54" s="11" t="inlineStr">
        <is>
          <t>Water service lateral from municipal meter to house foundation</t>
        </is>
      </c>
      <c r="D54" s="24">
        <f>'Quantity Takeoff'!H54</f>
        <v>63.0</v>
      </c>
      <c r="E54" s="8" t="inlineStr">
        <is>
          <t>LF</t>
        </is>
      </c>
      <c r="F54" s="25" t="n">
        <v>14</v>
      </c>
      <c r="G54" s="26">
        <f>D54*F54</f>
        <v>882.0</v>
      </c>
      <c r="H54" s="27" t="n">
        <v>0.12</v>
      </c>
      <c r="I54" s="28">
        <f>D54*H54</f>
        <v>7.56</v>
      </c>
      <c r="J54" s="29">
        <f>rate_mep</f>
        <v>85.0</v>
      </c>
      <c r="K54" s="26">
        <f>I54*J54</f>
        <v>642.6</v>
      </c>
      <c r="L54" s="25" t="n">
        <v>8</v>
      </c>
      <c r="M54" s="26">
        <f>D54*L54</f>
        <v>504.0</v>
      </c>
      <c r="N54" s="30">
        <f>G54+K54+M54</f>
        <v>2028.6</v>
      </c>
    </row>
    <row r="55">
      <c r="A55" s="8" t="n">
        <v>50</v>
      </c>
      <c r="B55" s="8" t="inlineStr">
        <is>
          <t>Division 32 &amp; 33 - Exterior Improvements &amp; Site Utilities</t>
        </is>
      </c>
      <c r="C55" s="11" t="inlineStr">
        <is>
          <t>Sewer lateral connection from house main drain to street tap</t>
        </is>
      </c>
      <c r="D55" s="24">
        <f>'Quantity Takeoff'!H55</f>
        <v>63.0</v>
      </c>
      <c r="E55" s="8" t="inlineStr">
        <is>
          <t>LF</t>
        </is>
      </c>
      <c r="F55" s="25" t="n">
        <v>18</v>
      </c>
      <c r="G55" s="26">
        <f>D55*F55</f>
        <v>1134.0</v>
      </c>
      <c r="H55" s="27" t="n">
        <v>0.15</v>
      </c>
      <c r="I55" s="28">
        <f>D55*H55</f>
        <v>9.45</v>
      </c>
      <c r="J55" s="29">
        <f>rate_mep</f>
        <v>85.0</v>
      </c>
      <c r="K55" s="26">
        <f>I55*J55</f>
        <v>803.2499999999999</v>
      </c>
      <c r="L55" s="25" t="n">
        <v>10</v>
      </c>
      <c r="M55" s="26">
        <f>D55*L55</f>
        <v>630.0</v>
      </c>
      <c r="N55" s="30">
        <f>G55+K55+M55</f>
        <v>2567.25</v>
      </c>
    </row>
    <row r="56">
      <c r="C56" s="17" t="inlineStr">
        <is>
          <t>Direct cost totals</t>
        </is>
      </c>
      <c r="G56" s="31">
        <f>SUM(G6:G55)</f>
        <v>196908.44844444445</v>
      </c>
      <c r="I56" s="32">
        <f>SUM(I6:I55)</f>
        <v>2719.502388888889</v>
      </c>
      <c r="K56" s="31">
        <f>SUM(K6:K55)</f>
        <v>205107.19475555554</v>
      </c>
      <c r="M56" s="31">
        <f>SUM(M6:M55)</f>
        <v>7800.666666666667</v>
      </c>
      <c r="N56" s="31">
        <f>SUM(N6:N55)</f>
        <v>409816.3098666667</v>
      </c>
    </row>
  </sheetData>
  <mergeCells count="1">
    <mergeCell ref="A3:N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0" customWidth="1" min="2" max="2"/>
    <col width="15" customWidth="1" min="3" max="3"/>
    <col width="11" customWidth="1" min="4" max="4"/>
    <col width="15" customWidth="1" min="5" max="5"/>
    <col width="14" customWidth="1" min="6" max="6"/>
    <col width="16" customWidth="1" min="7" max="7"/>
  </cols>
  <sheetData>
    <row r="1">
      <c r="A1" s="1" t="inlineStr">
        <is>
          <t>F&amp;K Estimatings</t>
        </is>
      </c>
    </row>
    <row r="2">
      <c r="A2" s="2" t="inlineStr">
        <is>
          <t>Residential Construction Estimate Sample — Summary</t>
        </is>
      </c>
    </row>
    <row r="3" ht="36" customHeight="1">
      <c r="A3" s="3" t="inlineStr">
        <is>
          <t>Sample deliverable — prepared on a representative project to show format and level of detail. Not a client project. Quantities are computed from the sample project dimensions stated below; unit costs are illustrative (pricing basis: September 2026, national average, not a quote).</t>
        </is>
      </c>
    </row>
    <row r="5" ht="26" customHeight="1">
      <c r="A5" s="7" t="inlineStr">
        <is>
          <t>Group</t>
        </is>
      </c>
      <c r="B5" s="7" t="inlineStr">
        <is>
          <t>Line items</t>
        </is>
      </c>
      <c r="C5" s="7" t="inlineStr">
        <is>
          <t>Material $</t>
        </is>
      </c>
      <c r="D5" s="7" t="inlineStr">
        <is>
          <t>Labor hrs</t>
        </is>
      </c>
      <c r="E5" s="7" t="inlineStr">
        <is>
          <t>Labor $</t>
        </is>
      </c>
      <c r="F5" s="7" t="inlineStr">
        <is>
          <t>Equipment $</t>
        </is>
      </c>
      <c r="G5" s="7" t="inlineStr">
        <is>
          <t>Total $</t>
        </is>
      </c>
    </row>
    <row r="6">
      <c r="A6" s="8" t="inlineStr">
        <is>
          <t>Division 01 - General Conditions</t>
        </is>
      </c>
      <c r="B6" s="8">
        <f>COUNTIF(Pricing!$B$6:$B$55,A6)</f>
        <v>5.0</v>
      </c>
      <c r="C6" s="26">
        <f>SUMIF(Pricing!$B$6:$B$55,$A6,Pricing!$G$6:$G$55)</f>
        <v>10280.0</v>
      </c>
      <c r="D6" s="28">
        <f>SUMIF(Pricing!$B$6:$B$55,$A6,Pricing!$I$6:$I$55)</f>
        <v>292.0</v>
      </c>
      <c r="E6" s="26">
        <f>SUMIF(Pricing!$B$6:$B$55,$A6,Pricing!$K$6:$K$55)</f>
        <v>26768.0</v>
      </c>
      <c r="F6" s="26">
        <f>SUMIF(Pricing!$B$6:$B$55,$A6,Pricing!$M$6:$M$55)</f>
        <v>0.0</v>
      </c>
      <c r="G6" s="26">
        <f>SUMIF(Pricing!$B$6:$B$55,$A6,Pricing!$N$6:$N$55)</f>
        <v>37048.0</v>
      </c>
    </row>
    <row r="7">
      <c r="A7" s="8" t="inlineStr">
        <is>
          <t>Division 02 &amp; 31 - Earthwork &amp; Site Clearing</t>
        </is>
      </c>
      <c r="B7" s="8">
        <f>COUNTIF(Pricing!$B$6:$B$55,A7)</f>
        <v>3.0</v>
      </c>
      <c r="C7" s="26">
        <f>SUMIF(Pricing!$B$6:$B$55,$A7,Pricing!$G$6:$G$55)</f>
        <v>1400.0</v>
      </c>
      <c r="D7" s="28">
        <f>SUMIF(Pricing!$B$6:$B$55,$A7,Pricing!$I$6:$I$55)</f>
        <v>33.51111111111111</v>
      </c>
      <c r="E7" s="26">
        <f>SUMIF(Pricing!$B$6:$B$55,$A7,Pricing!$K$6:$K$55)</f>
        <v>2747.9111111111115</v>
      </c>
      <c r="F7" s="26">
        <f>SUMIF(Pricing!$B$6:$B$55,$A7,Pricing!$M$6:$M$55)</f>
        <v>6666.666666666667</v>
      </c>
      <c r="G7" s="26">
        <f>SUMIF(Pricing!$B$6:$B$55,$A7,Pricing!$N$6:$N$55)</f>
        <v>10814.577777777778</v>
      </c>
    </row>
    <row r="8">
      <c r="A8" s="8" t="inlineStr">
        <is>
          <t>Division 03 - Concrete Foundation &amp; Slabs</t>
        </is>
      </c>
      <c r="B8" s="8">
        <f>COUNTIF(Pricing!$B$6:$B$55,A8)</f>
        <v>5.0</v>
      </c>
      <c r="C8" s="26">
        <f>SUMIF(Pricing!$B$6:$B$55,$A8,Pricing!$G$6:$G$55)</f>
        <v>14487.744444444446</v>
      </c>
      <c r="D8" s="28">
        <f>SUMIF(Pricing!$B$6:$B$55,$A8,Pricing!$I$6:$I$55)</f>
        <v>77.16437777777779</v>
      </c>
      <c r="E8" s="26">
        <f>SUMIF(Pricing!$B$6:$B$55,$A8,Pricing!$K$6:$K$55)</f>
        <v>5401.506444444445</v>
      </c>
      <c r="F8" s="26">
        <f>SUMIF(Pricing!$B$6:$B$55,$A8,Pricing!$M$6:$M$55)</f>
        <v>0.0</v>
      </c>
      <c r="G8" s="26">
        <f>SUMIF(Pricing!$B$6:$B$55,$A8,Pricing!$N$6:$N$55)</f>
        <v>19889.25088888889</v>
      </c>
    </row>
    <row r="9">
      <c r="A9" s="8" t="inlineStr">
        <is>
          <t>Division 06 - Rough Framing &amp; Trusses</t>
        </is>
      </c>
      <c r="B9" s="8">
        <f>COUNTIF(Pricing!$B$6:$B$55,A9)</f>
        <v>7.0</v>
      </c>
      <c r="C9" s="26">
        <f>SUMIF(Pricing!$B$6:$B$55,$A9,Pricing!$G$6:$G$55)</f>
        <v>49325.9</v>
      </c>
      <c r="D9" s="28">
        <f>SUMIF(Pricing!$B$6:$B$55,$A9,Pricing!$I$6:$I$55)</f>
        <v>726.702</v>
      </c>
      <c r="E9" s="26">
        <f>SUMIF(Pricing!$B$6:$B$55,$A9,Pricing!$K$6:$K$55)</f>
        <v>52322.543999999994</v>
      </c>
      <c r="F9" s="26">
        <f>SUMIF(Pricing!$B$6:$B$55,$A9,Pricing!$M$6:$M$55)</f>
        <v>0.0</v>
      </c>
      <c r="G9" s="26">
        <f>SUMIF(Pricing!$B$6:$B$55,$A9,Pricing!$N$6:$N$55)</f>
        <v>101648.444</v>
      </c>
    </row>
    <row r="10">
      <c r="A10" s="8" t="inlineStr">
        <is>
          <t>Division 07 &amp; 08 - Exterior Envelope, Windows &amp; Doors</t>
        </is>
      </c>
      <c r="B10" s="8">
        <f>COUNTIF(Pricing!$B$6:$B$55,A10)</f>
        <v>7.0</v>
      </c>
      <c r="C10" s="26">
        <f>SUMIF(Pricing!$B$6:$B$55,$A10,Pricing!$G$6:$G$55)</f>
        <v>27627.3</v>
      </c>
      <c r="D10" s="28">
        <f>SUMIF(Pricing!$B$6:$B$55,$A10,Pricing!$I$6:$I$55)</f>
        <v>321.447</v>
      </c>
      <c r="E10" s="26">
        <f>SUMIF(Pricing!$B$6:$B$55,$A10,Pricing!$K$6:$K$55)</f>
        <v>23035.32</v>
      </c>
      <c r="F10" s="26">
        <f>SUMIF(Pricing!$B$6:$B$55,$A10,Pricing!$M$6:$M$55)</f>
        <v>0.0</v>
      </c>
      <c r="G10" s="26">
        <f>SUMIF(Pricing!$B$6:$B$55,$A10,Pricing!$N$6:$N$55)</f>
        <v>50662.619999999995</v>
      </c>
    </row>
    <row r="11">
      <c r="A11" s="8" t="inlineStr">
        <is>
          <t>Division 09 - Finishes</t>
        </is>
      </c>
      <c r="B11" s="8">
        <f>COUNTIF(Pricing!$B$6:$B$55,A11)</f>
        <v>6.0</v>
      </c>
      <c r="C11" s="26">
        <f>SUMIF(Pricing!$B$6:$B$55,$A11,Pricing!$G$6:$G$55)</f>
        <v>22664.544</v>
      </c>
      <c r="D11" s="28">
        <f>SUMIF(Pricing!$B$6:$B$55,$A11,Pricing!$I$6:$I$55)</f>
        <v>650.2824</v>
      </c>
      <c r="E11" s="26">
        <f>SUMIF(Pricing!$B$6:$B$55,$A11,Pricing!$K$6:$K$55)</f>
        <v>44219.203199999996</v>
      </c>
      <c r="F11" s="26">
        <f>SUMIF(Pricing!$B$6:$B$55,$A11,Pricing!$M$6:$M$55)</f>
        <v>0.0</v>
      </c>
      <c r="G11" s="26">
        <f>SUMIF(Pricing!$B$6:$B$55,$A11,Pricing!$N$6:$N$55)</f>
        <v>66883.7472</v>
      </c>
    </row>
    <row r="12">
      <c r="A12" s="8" t="inlineStr">
        <is>
          <t>Division 10, 11 &amp; 12 - Cabinets, Countertops &amp; Specialties</t>
        </is>
      </c>
      <c r="B12" s="8">
        <f>COUNTIF(Pricing!$B$6:$B$55,A12)</f>
        <v>5.0</v>
      </c>
      <c r="C12" s="26">
        <f>SUMIF(Pricing!$B$6:$B$55,$A12,Pricing!$G$6:$G$55)</f>
        <v>24591.5</v>
      </c>
      <c r="D12" s="28">
        <f>SUMIF(Pricing!$B$6:$B$55,$A12,Pricing!$I$6:$I$55)</f>
        <v>111.63749999999999</v>
      </c>
      <c r="E12" s="26">
        <f>SUMIF(Pricing!$B$6:$B$55,$A12,Pricing!$K$6:$K$55)</f>
        <v>8115.9</v>
      </c>
      <c r="F12" s="26">
        <f>SUMIF(Pricing!$B$6:$B$55,$A12,Pricing!$M$6:$M$55)</f>
        <v>0.0</v>
      </c>
      <c r="G12" s="26">
        <f>SUMIF(Pricing!$B$6:$B$55,$A12,Pricing!$N$6:$N$55)</f>
        <v>32707.4</v>
      </c>
    </row>
    <row r="13">
      <c r="A13" s="8" t="inlineStr">
        <is>
          <t>Division 22, 23 &amp; 26 - Mechanical, Electrical &amp; Plumbing</t>
        </is>
      </c>
      <c r="B13" s="8">
        <f>COUNTIF(Pricing!$B$6:$B$55,A13)</f>
        <v>8.0</v>
      </c>
      <c r="C13" s="26">
        <f>SUMIF(Pricing!$B$6:$B$55,$A13,Pricing!$G$6:$G$55)</f>
        <v>40790.0</v>
      </c>
      <c r="D13" s="28">
        <f>SUMIF(Pricing!$B$6:$B$55,$A13,Pricing!$I$6:$I$55)</f>
        <v>429.4</v>
      </c>
      <c r="E13" s="26">
        <f>SUMIF(Pricing!$B$6:$B$55,$A13,Pricing!$K$6:$K$55)</f>
        <v>36499.0</v>
      </c>
      <c r="F13" s="26">
        <f>SUMIF(Pricing!$B$6:$B$55,$A13,Pricing!$M$6:$M$55)</f>
        <v>0.0</v>
      </c>
      <c r="G13" s="26">
        <f>SUMIF(Pricing!$B$6:$B$55,$A13,Pricing!$N$6:$N$55)</f>
        <v>77289.0</v>
      </c>
    </row>
    <row r="14">
      <c r="A14" s="8" t="inlineStr">
        <is>
          <t>Division 32 &amp; 33 - Exterior Improvements &amp; Site Utilities</t>
        </is>
      </c>
      <c r="B14" s="8">
        <f>COUNTIF(Pricing!$B$6:$B$55,A14)</f>
        <v>4.0</v>
      </c>
      <c r="C14" s="26">
        <f>SUMIF(Pricing!$B$6:$B$55,$A14,Pricing!$G$6:$G$55)</f>
        <v>5741.46</v>
      </c>
      <c r="D14" s="28">
        <f>SUMIF(Pricing!$B$6:$B$55,$A14,Pricing!$I$6:$I$55)</f>
        <v>77.358</v>
      </c>
      <c r="E14" s="26">
        <f>SUMIF(Pricing!$B$6:$B$55,$A14,Pricing!$K$6:$K$55)</f>
        <v>5997.8099999999995</v>
      </c>
      <c r="F14" s="26">
        <f>SUMIF(Pricing!$B$6:$B$55,$A14,Pricing!$M$6:$M$55)</f>
        <v>1134.0</v>
      </c>
      <c r="G14" s="26">
        <f>SUMIF(Pricing!$B$6:$B$55,$A14,Pricing!$N$6:$N$55)</f>
        <v>12873.27</v>
      </c>
    </row>
    <row r="15">
      <c r="A15" s="17" t="inlineStr">
        <is>
          <t>Direct cost subtotal</t>
        </is>
      </c>
      <c r="C15" s="31">
        <f>SUM(C6:C14)</f>
        <v>196908.44844444445</v>
      </c>
      <c r="D15" s="32">
        <f>SUM(D6:D14)</f>
        <v>2719.502388888889</v>
      </c>
      <c r="E15" s="31">
        <f>SUM(E6:E14)</f>
        <v>205107.19475555554</v>
      </c>
      <c r="F15" s="31">
        <f>SUM(F6:F14)</f>
        <v>7800.666666666667</v>
      </c>
      <c r="G15" s="31">
        <f>SUM(G6:G14)</f>
        <v>409816.3098666667</v>
      </c>
    </row>
    <row r="16">
      <c r="A16" s="33" t="inlineStr">
        <is>
          <t>Markups (percentages are stated assumptions — see Cover &amp; Basis)</t>
        </is>
      </c>
    </row>
    <row r="17">
      <c r="A17" s="5" t="inlineStr">
        <is>
          <t>Sales tax on material (7.0% of material)</t>
        </is>
      </c>
      <c r="F17" s="34">
        <f>tax_rate</f>
        <v>0.07</v>
      </c>
      <c r="G17" s="35">
        <f>C15*F17</f>
        <v>13783.591391111113</v>
      </c>
    </row>
    <row r="18">
      <c r="A18" s="19" t="inlineStr">
        <is>
          <t>Running subtotal</t>
        </is>
      </c>
      <c r="G18" s="35">
        <f>G15+G17</f>
        <v>423599.9012577778</v>
      </c>
    </row>
    <row r="19">
      <c r="A19" s="5" t="inlineStr">
        <is>
          <t>General contractor overhead (8.0% of running subtotal)</t>
        </is>
      </c>
      <c r="F19" s="34">
        <f>oh_pct</f>
        <v>0.08</v>
      </c>
      <c r="G19" s="35">
        <f>G18*F19</f>
        <v>33887.99210062223</v>
      </c>
    </row>
    <row r="20">
      <c r="A20" s="19" t="inlineStr">
        <is>
          <t>Running subtotal</t>
        </is>
      </c>
      <c r="G20" s="35">
        <f>G18+G19</f>
        <v>457487.89335840003</v>
      </c>
    </row>
    <row r="21">
      <c r="A21" s="5" t="inlineStr">
        <is>
          <t>Contractor profit (8.0% of running subtotal)</t>
        </is>
      </c>
      <c r="F21" s="34">
        <f>profit_pct</f>
        <v>0.08</v>
      </c>
      <c r="G21" s="35">
        <f>G20*F21</f>
        <v>36599.031468672</v>
      </c>
    </row>
    <row r="22">
      <c r="A22" s="19" t="inlineStr">
        <is>
          <t>Running subtotal</t>
        </is>
      </c>
      <c r="G22" s="35">
        <f>G20+G21</f>
        <v>494086.924827072</v>
      </c>
    </row>
    <row r="23">
      <c r="A23" s="5" t="inlineStr">
        <is>
          <t>Builder design &amp; price contingency (4.0% of running subtotal)</t>
        </is>
      </c>
      <c r="F23" s="34">
        <f>contingency_pct</f>
        <v>0.04</v>
      </c>
      <c r="G23" s="35">
        <f>G22*F23</f>
        <v>19763.47699308288</v>
      </c>
    </row>
    <row r="24">
      <c r="A24" s="19" t="inlineStr">
        <is>
          <t>Running subtotal</t>
        </is>
      </c>
      <c r="G24" s="35">
        <f>G22+G23</f>
        <v>513850.4018201549</v>
      </c>
    </row>
    <row r="25">
      <c r="A25" s="17" t="inlineStr">
        <is>
          <t>SAMPLE TOTAL (illustrative)</t>
        </is>
      </c>
      <c r="G25" s="36">
        <f>G24</f>
        <v>513850.4018201549</v>
      </c>
    </row>
    <row r="26">
      <c r="A26" s="5" t="inlineStr">
        <is>
          <t>Cost per SF finished</t>
        </is>
      </c>
      <c r="G26" s="35">
        <f>G25/gross_sf</f>
        <v>214.1043340917312</v>
      </c>
    </row>
    <row r="28" ht="40" customHeight="1">
      <c r="A28" s="37" t="inlineStr">
        <is>
          <t>Sample deliverable — prepared on a representative project to show format and level of detail. Not a client project. Quantities are computed from the sample project dimensions stated below; unit costs are illustrative (pricing basis: September 2026, national average, not a quote).</t>
        </is>
      </c>
    </row>
  </sheetData>
  <mergeCells count="2">
    <mergeCell ref="A3:G3"/>
    <mergeCell ref="A28:G2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2026-09-26T09:13:07Z</dcterms:created>
  <dcterms:modified xsi:type="dcterms:W3CDTF">2026-09-26T09:13:07Z</dcterms:modified>
</cp:coreProperties>
</file>