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 &amp; Basis" sheetId="1" state="visible" r:id="rId1"/>
    <sheet name="Fixture Schedule" sheetId="2" state="visible" r:id="rId2"/>
    <sheet name="Quantity Takeoff" sheetId="3" state="visible" r:id="rId3"/>
    <sheet name="Pricing" sheetId="4" state="visible" r:id="rId4"/>
    <sheet name="Summary" sheetId="5" state="visible" r:id="rId5"/>
  </sheets>
  <definedNames>
    <definedName name="gross_sf">'Cover &amp; Basis'!$D$12</definedName>
    <definedName name="main_y">'Cover &amp; Basis'!$D$13</definedName>
    <definedName name="main_x1">'Cover &amp; Basis'!$D$14</definedName>
    <definedName name="main_x2">'Cover &amp; Basis'!$D$15</definedName>
    <definedName name="exit_len">'Cover &amp; Basis'!$D$16</definedName>
    <definedName name="stub_ug">'Cover &amp; Basis'!$D$17</definedName>
    <definedName name="vent_y">'Cover &amp; Basis'!$D$18</definedName>
    <definedName name="vent_rise">'Cover &amp; Basis'!$D$19</definedName>
    <definedName name="vtr_len">'Cover &amp; Basis'!$D$20</definedName>
    <definedName name="wtr_y">'Cover &amp; Basis'!$D$21</definedName>
    <definedName name="fix_drop">'Cover &amp; Basis'!$D$22</definedName>
    <definedName name="cw_entry_x">'Cover &amp; Basis'!$D$23</definedName>
    <definedName name="cw_entry_y">'Cover &amp; Basis'!$D$24</definedName>
    <definedName name="wtr_rise">'Cover &amp; Basis'!$D$25</definedName>
    <definedName name="cw_end_x">'Cover &amp; Basis'!$D$26</definedName>
    <definedName name="wh_x">'Cover &amp; Basis'!$D$27</definedName>
    <definedName name="hw_end_x">'Cover &amp; Basis'!$D$28</definedName>
    <definedName name="wh_rise">'Cover &amp; Basis'!$D$29</definedName>
    <definedName name="wh_conn">'Cover &amp; Basis'!$D$30</definedName>
    <definedName name="dwv_fit_lf">'Cover &amp; Basis'!$D$31</definedName>
    <definedName name="cu_fit_lf">'Cover &amp; Basis'!$D$32</definedName>
    <definedName name="cu_hgr_lf">'Cover &amp; Basis'!$D$33</definedName>
    <definedName name="pvc_hgr_lf">'Cover &amp; Basis'!$D$34</definedName>
    <definedName name="rate_plumb">'Cover &amp; Basis'!$D$35</definedName>
    <definedName name="tax_rate">'Cover &amp; Basis'!$D$36</definedName>
    <definedName name="oh_pct">'Cover &amp; Basis'!$D$37</definedName>
    <definedName name="profit_pct">'Cover &amp; Basis'!$D$38</definedName>
    <definedName name="ug_4">'Quantity Takeoff'!$E$15</definedName>
    <definedName name="ug_4_w">'Quantity Takeoff'!$H$15</definedName>
    <definedName name="ug_3">'Quantity Takeoff'!$E$16</definedName>
    <definedName name="ug_3_w">'Quantity Takeoff'!$H$16</definedName>
    <definedName name="ug_2">'Quantity Takeoff'!$E$17</definedName>
    <definedName name="ug_2_w">'Quantity Takeoff'!$H$17</definedName>
    <definedName name="ug_15">'Quantity Takeoff'!$E$18</definedName>
    <definedName name="ug_15_w">'Quantity Takeoff'!$H$18</definedName>
    <definedName name="v_2">'Quantity Takeoff'!$E$19</definedName>
    <definedName name="v_2_w">'Quantity Takeoff'!$H$19</definedName>
    <definedName name="v_15">'Quantity Takeoff'!$E$20</definedName>
    <definedName name="v_15_w">'Quantity Takeoff'!$H$20</definedName>
    <definedName name="vh_2">'Quantity Takeoff'!$E$21</definedName>
    <definedName name="vh_2_w">'Quantity Takeoff'!$H$21</definedName>
    <definedName name="vtr_3">'Quantity Takeoff'!$E$22</definedName>
    <definedName name="vtr_3_w">'Quantity Takeoff'!$H$22</definedName>
    <definedName name="cw_1">'Quantity Takeoff'!$E$28</definedName>
    <definedName name="cw_1_w">'Quantity Takeoff'!$H$28</definedName>
    <definedName name="hw_34">'Quantity Takeoff'!$E$29</definedName>
    <definedName name="hw_34_w">'Quantity Takeoff'!$H$29</definedName>
    <definedName name="cu_34">'Quantity Takeoff'!$E$30</definedName>
    <definedName name="cu_34_w">'Quantity Takeoff'!$H$30</definedName>
    <definedName name="cu_12">'Quantity Takeoff'!$E$31</definedName>
    <definedName name="cu_12_w">'Quantity Takeoff'!$H$31</definedName>
    <definedName name="_xlnm._FilterDatabase" localSheetId="2" hidden="1">'Quantity Takeoff'!$A$5:$J$37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#,##0.####"/>
    <numFmt numFmtId="165" formatCode="0.0%"/>
    <numFmt numFmtId="166" formatCode="0.0"/>
    <numFmt numFmtId="167" formatCode="#,##0.00;(#,##0.00);&quot;-&quot;"/>
    <numFmt numFmtId="168" formatCode="$#,##0.00;($#,##0.00);&quot;-&quot;"/>
    <numFmt numFmtId="169" formatCode="0.0000"/>
    <numFmt numFmtId="170" formatCode="#,##0.0"/>
    <numFmt numFmtId="171" formatCode="$#,##0;($#,##0);&quot;-&quot;"/>
  </numFmts>
  <fonts count="15">
    <font>
      <name val="Calibri"/>
      <family val="2"/>
      <color theme="1"/>
      <sz val="11"/>
      <scheme val="minor"/>
    </font>
    <font>
      <name val="Arial"/>
      <b val="1"/>
      <color rgb="00FF6B35"/>
      <sz val="16"/>
    </font>
    <font>
      <name val="Arial"/>
      <b val="1"/>
      <color rgb="000B132B"/>
      <sz val="12"/>
    </font>
    <font>
      <name val="Arial"/>
      <i val="1"/>
      <color rgb="007A2E0E"/>
      <sz val="8"/>
    </font>
    <font>
      <name val="Arial"/>
      <b val="1"/>
      <sz val="9"/>
    </font>
    <font>
      <name val="Arial"/>
      <sz val="9"/>
    </font>
    <font>
      <name val="Arial"/>
      <b val="1"/>
      <color rgb="00FFFFFF"/>
      <sz val="9"/>
    </font>
    <font>
      <name val="Consolas"/>
      <color rgb="00555555"/>
      <sz val="9"/>
    </font>
    <font>
      <name val="Arial"/>
      <color rgb="000000FF"/>
      <sz val="9"/>
    </font>
    <font>
      <name val="Arial"/>
      <color rgb="00555555"/>
      <sz val="8"/>
    </font>
    <font>
      <name val="Consolas"/>
      <color rgb="00444444"/>
      <sz val="8"/>
    </font>
    <font>
      <name val="Arial"/>
      <sz val="8"/>
    </font>
    <font>
      <name val="Arial"/>
      <color rgb="00008000"/>
      <sz val="9"/>
    </font>
    <font>
      <name val="Arial"/>
      <i val="1"/>
      <color rgb="00555555"/>
      <sz val="8"/>
    </font>
    <font>
      <name val="Arial"/>
      <i val="1"/>
      <sz val="8"/>
    </font>
  </fonts>
  <fills count="5">
    <fill>
      <patternFill/>
    </fill>
    <fill>
      <patternFill patternType="gray125"/>
    </fill>
    <fill>
      <patternFill patternType="solid">
        <fgColor rgb="00FFF5F0"/>
      </patternFill>
    </fill>
    <fill>
      <patternFill patternType="solid">
        <fgColor rgb="000B132B"/>
      </patternFill>
    </fill>
    <fill>
      <patternFill patternType="solid">
        <fgColor rgb="00FFE3D6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3" borderId="1" applyAlignment="1" pivotButton="0" quotePrefix="0" xfId="0">
      <alignment vertical="center" wrapText="1"/>
    </xf>
    <xf numFmtId="0" fontId="5" fillId="0" borderId="1" pivotButton="0" quotePrefix="0" xfId="0"/>
    <xf numFmtId="0" fontId="7" fillId="0" borderId="1" pivotButton="0" quotePrefix="0" xfId="0"/>
    <xf numFmtId="164" fontId="5" fillId="0" borderId="1" pivotButton="0" quotePrefix="0" xfId="0"/>
    <xf numFmtId="0" fontId="5" fillId="0" borderId="1" applyAlignment="1" pivotButton="0" quotePrefix="0" xfId="0">
      <alignment vertical="top" wrapText="1"/>
    </xf>
    <xf numFmtId="164" fontId="8" fillId="0" borderId="1" pivotButton="0" quotePrefix="0" xfId="0"/>
    <xf numFmtId="165" fontId="8" fillId="0" borderId="1" pivotButton="0" quotePrefix="0" xfId="0"/>
    <xf numFmtId="0" fontId="9" fillId="0" borderId="0" applyAlignment="1" pivotButton="0" quotePrefix="0" xfId="0">
      <alignment vertical="top" wrapText="1"/>
    </xf>
    <xf numFmtId="166" fontId="8" fillId="0" borderId="1" pivotButton="0" quotePrefix="0" xfId="0"/>
    <xf numFmtId="1" fontId="8" fillId="0" borderId="1" pivotButton="0" quotePrefix="0" xfId="0"/>
    <xf numFmtId="166" fontId="5" fillId="0" borderId="1" pivotButton="0" quotePrefix="0" xfId="0"/>
    <xf numFmtId="0" fontId="4" fillId="4" borderId="0" pivotButton="0" quotePrefix="0" xfId="0"/>
    <xf numFmtId="1" fontId="4" fillId="4" borderId="0" pivotButton="0" quotePrefix="0" xfId="0"/>
    <xf numFmtId="166" fontId="4" fillId="4" borderId="0" pivotButton="0" quotePrefix="0" xfId="0"/>
    <xf numFmtId="0" fontId="9" fillId="0" borderId="0" pivotButton="0" quotePrefix="0" xfId="0"/>
    <xf numFmtId="167" fontId="5" fillId="0" borderId="1" pivotButton="0" quotePrefix="0" xfId="0"/>
    <xf numFmtId="167" fontId="4" fillId="0" borderId="1" pivotButton="0" quotePrefix="0" xfId="0"/>
    <xf numFmtId="0" fontId="10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167" fontId="12" fillId="0" borderId="1" pivotButton="0" quotePrefix="0" xfId="0"/>
    <xf numFmtId="168" fontId="8" fillId="0" borderId="1" pivotButton="0" quotePrefix="0" xfId="0"/>
    <xf numFmtId="168" fontId="5" fillId="0" borderId="1" pivotButton="0" quotePrefix="0" xfId="0"/>
    <xf numFmtId="169" fontId="8" fillId="0" borderId="1" pivotButton="0" quotePrefix="0" xfId="0"/>
    <xf numFmtId="170" fontId="5" fillId="0" borderId="1" pivotButton="0" quotePrefix="0" xfId="0"/>
    <xf numFmtId="168" fontId="12" fillId="0" borderId="1" pivotButton="0" quotePrefix="0" xfId="0"/>
    <xf numFmtId="168" fontId="4" fillId="0" borderId="1" pivotButton="0" quotePrefix="0" xfId="0"/>
    <xf numFmtId="168" fontId="4" fillId="4" borderId="0" pivotButton="0" quotePrefix="0" xfId="0"/>
    <xf numFmtId="170" fontId="4" fillId="4" borderId="0" pivotButton="0" quotePrefix="0" xfId="0"/>
    <xf numFmtId="0" fontId="13" fillId="0" borderId="0" pivotButton="0" quotePrefix="0" xfId="0"/>
    <xf numFmtId="165" fontId="12" fillId="0" borderId="0" pivotButton="0" quotePrefix="0" xfId="0"/>
    <xf numFmtId="168" fontId="5" fillId="0" borderId="0" pivotButton="0" quotePrefix="0" xfId="0"/>
    <xf numFmtId="171" fontId="4" fillId="4" borderId="0" pivotButton="0" quotePrefix="0" xfId="0"/>
    <xf numFmtId="0" fontId="1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44" customWidth="1" min="2" max="2"/>
    <col width="22" customWidth="1" min="3" max="3"/>
    <col width="14" customWidth="1" min="4" max="4"/>
    <col width="10" customWidth="1" min="5" max="5"/>
    <col width="60" customWidth="1" min="6" max="6"/>
  </cols>
  <sheetData>
    <row r="1">
      <c r="A1" s="1" t="inlineStr">
        <is>
          <t>F&amp;K Estimatings</t>
        </is>
      </c>
    </row>
    <row r="2">
      <c r="A2" s="2" t="inlineStr">
        <is>
          <t>Plumbing Takeoff Sample — Cover &amp; Basis</t>
        </is>
      </c>
    </row>
    <row r="3" ht="36" customHeight="1">
      <c r="A3" s="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  <row r="5">
      <c r="A5" s="4" t="inlineStr">
        <is>
          <t>Project</t>
        </is>
      </c>
      <c r="B5" s="4" t="inlineStr">
        <is>
          <t>Representative sample project: 6,000 SF office tenant fit-out in a 100' x 60' single-story building</t>
        </is>
      </c>
    </row>
    <row r="6">
      <c r="A6" s="4" t="inlineStr">
        <is>
          <t>Trade / CSI</t>
        </is>
      </c>
      <c r="B6" s="5" t="inlineStr">
        <is>
          <t>Plumbing — CSI Division 22</t>
        </is>
      </c>
    </row>
    <row r="7" ht="60" customHeight="1">
      <c r="A7" s="4" t="inlineStr">
        <is>
          <t>Description</t>
        </is>
      </c>
      <c r="B7" s="6" t="inlineStr">
        <is>
          <t>Plumbing for the same sample office tenant space: two single-user restrooms, a janitor closet, a break room sink and a bi-level drinking fountain, all grouped at the rear support core. Sanitary piping is PVC DWV below the slab (installed before the slab pour) with PVC vents above a ducted-return ceiling; domestic water is Type L copper above the ceiling, served from a 1" stub with meter provided by the shell. Every pipe length is measured from the fixture coordinates on the sample plan.</t>
        </is>
      </c>
    </row>
    <row r="8">
      <c r="A8" s="4" t="inlineStr">
        <is>
          <t>Prepared by</t>
        </is>
      </c>
      <c r="B8" s="5" t="inlineStr">
        <is>
          <t>F&amp;K Estimatings (fandkestimatings.us) — sample for format illustration only</t>
        </is>
      </c>
    </row>
    <row r="10">
      <c r="A10" s="2" t="inlineStr">
        <is>
          <t>ASSUMPTIONS &amp; BASIS — blue values are inputs; change one and the workbook recalculates</t>
        </is>
      </c>
    </row>
    <row r="11" ht="26" customHeight="1">
      <c r="A11" s="7" t="inlineStr">
        <is>
          <t>Section</t>
        </is>
      </c>
      <c r="B11" s="7" t="inlineStr">
        <is>
          <t>Parameter</t>
        </is>
      </c>
      <c r="C11" s="7" t="inlineStr">
        <is>
          <t>Name used in formulas</t>
        </is>
      </c>
      <c r="D11" s="7" t="inlineStr">
        <is>
          <t>Value</t>
        </is>
      </c>
      <c r="E11" s="7" t="inlineStr">
        <is>
          <t>Unit</t>
        </is>
      </c>
      <c r="F11" s="7" t="inlineStr">
        <is>
          <t>Note / basis</t>
        </is>
      </c>
    </row>
    <row r="12">
      <c r="A12" s="8" t="inlineStr">
        <is>
          <t>Building</t>
        </is>
      </c>
      <c r="B12" s="8" t="inlineStr">
        <is>
          <t>Tenant area</t>
        </is>
      </c>
      <c r="C12" s="9" t="inlineStr">
        <is>
          <t>gross_sf</t>
        </is>
      </c>
      <c r="D12" s="10">
        <f>100*60</f>
        <v>6000.0</v>
      </c>
      <c r="E12" s="8" t="inlineStr">
        <is>
          <t>SF</t>
        </is>
      </c>
      <c r="F12" s="11" t="inlineStr"/>
    </row>
    <row r="13">
      <c r="A13" s="8" t="inlineStr">
        <is>
          <t>Sanitary</t>
        </is>
      </c>
      <c r="B13" s="8" t="inlineStr">
        <is>
          <t>Building drain centerline, y</t>
        </is>
      </c>
      <c r="C13" s="9" t="inlineStr">
        <is>
          <t>main_y</t>
        </is>
      </c>
      <c r="D13" s="12" t="n">
        <v>4</v>
      </c>
      <c r="E13" s="8" t="inlineStr">
        <is>
          <t>ft</t>
        </is>
      </c>
      <c r="F13" s="11" t="inlineStr">
        <is>
          <t>Runs east-west under the core</t>
        </is>
      </c>
    </row>
    <row r="14">
      <c r="A14" s="8" t="inlineStr">
        <is>
          <t>Sanitary</t>
        </is>
      </c>
      <c r="B14" s="8" t="inlineStr">
        <is>
          <t>Building drain upstream end, x</t>
        </is>
      </c>
      <c r="C14" s="9" t="inlineStr">
        <is>
          <t>main_x1</t>
        </is>
      </c>
      <c r="D14" s="12" t="n">
        <v>74</v>
      </c>
      <c r="E14" s="8" t="inlineStr">
        <is>
          <t>ft</t>
        </is>
      </c>
      <c r="F14" s="11" t="inlineStr"/>
    </row>
    <row r="15">
      <c r="A15" s="8" t="inlineStr">
        <is>
          <t>Sanitary</t>
        </is>
      </c>
      <c r="B15" s="8" t="inlineStr">
        <is>
          <t>Building drain downstream end, x</t>
        </is>
      </c>
      <c r="C15" s="9" t="inlineStr">
        <is>
          <t>main_x2</t>
        </is>
      </c>
      <c r="D15" s="12" t="n">
        <v>98</v>
      </c>
      <c r="E15" s="8" t="inlineStr">
        <is>
          <t>ft</t>
        </is>
      </c>
      <c r="F15" s="11" t="inlineStr"/>
    </row>
    <row r="16">
      <c r="A16" s="8" t="inlineStr">
        <is>
          <t>Sanitary</t>
        </is>
      </c>
      <c r="B16" s="8" t="inlineStr">
        <is>
          <t>Exit leg to 5' outside building line</t>
        </is>
      </c>
      <c r="C16" s="9" t="inlineStr">
        <is>
          <t>exit_len</t>
        </is>
      </c>
      <c r="D16" s="10">
        <f>main_y+5</f>
        <v>9.0</v>
      </c>
      <c r="E16" s="8" t="inlineStr">
        <is>
          <t>ft</t>
        </is>
      </c>
      <c r="F16" s="11" t="inlineStr">
        <is>
          <t>South wall at y = 0</t>
        </is>
      </c>
    </row>
    <row r="17">
      <c r="A17" s="8" t="inlineStr">
        <is>
          <t>Sanitary</t>
        </is>
      </c>
      <c r="B17" s="8" t="inlineStr">
        <is>
          <t>Vertical stub up to fixture per branch</t>
        </is>
      </c>
      <c r="C17" s="9" t="inlineStr">
        <is>
          <t>stub_ug</t>
        </is>
      </c>
      <c r="D17" s="12" t="n">
        <v>2</v>
      </c>
      <c r="E17" s="8" t="inlineStr">
        <is>
          <t>ft</t>
        </is>
      </c>
      <c r="F17" s="11" t="inlineStr">
        <is>
          <t>Below-slab depth allowance</t>
        </is>
      </c>
    </row>
    <row r="18">
      <c r="A18" s="8" t="inlineStr">
        <is>
          <t>Vent</t>
        </is>
      </c>
      <c r="B18" s="8" t="inlineStr">
        <is>
          <t>Vent header line above ceiling, y</t>
        </is>
      </c>
      <c r="C18" s="9" t="inlineStr">
        <is>
          <t>vent_y</t>
        </is>
      </c>
      <c r="D18" s="12" t="n">
        <v>2</v>
      </c>
      <c r="E18" s="8" t="inlineStr">
        <is>
          <t>ft</t>
        </is>
      </c>
      <c r="F18" s="11" t="inlineStr">
        <is>
          <t>Along rear wall</t>
        </is>
      </c>
    </row>
    <row r="19">
      <c r="A19" s="8" t="inlineStr">
        <is>
          <t>Vent</t>
        </is>
      </c>
      <c r="B19" s="8" t="inlineStr">
        <is>
          <t>Individual vent rise to header</t>
        </is>
      </c>
      <c r="C19" s="9" t="inlineStr">
        <is>
          <t>vent_rise</t>
        </is>
      </c>
      <c r="D19" s="12" t="n">
        <v>8</v>
      </c>
      <c r="E19" s="8" t="inlineStr">
        <is>
          <t>ft</t>
        </is>
      </c>
      <c r="F19" s="11" t="inlineStr">
        <is>
          <t>Floor-level connection to 10'-0"</t>
        </is>
      </c>
    </row>
    <row r="20">
      <c r="A20" s="8" t="inlineStr">
        <is>
          <t>Vent</t>
        </is>
      </c>
      <c r="B20" s="8" t="inlineStr">
        <is>
          <t>Vent-through-roof length</t>
        </is>
      </c>
      <c r="C20" s="9" t="inlineStr">
        <is>
          <t>vtr_len</t>
        </is>
      </c>
      <c r="D20" s="10">
        <f>16-10+1</f>
        <v>7.0</v>
      </c>
      <c r="E20" s="8" t="inlineStr">
        <is>
          <t>ft</t>
        </is>
      </c>
      <c r="F20" s="11" t="inlineStr">
        <is>
          <t>10' header to 16' roof + 1' above</t>
        </is>
      </c>
    </row>
    <row r="21">
      <c r="A21" s="8" t="inlineStr">
        <is>
          <t>Water</t>
        </is>
      </c>
      <c r="B21" s="8" t="inlineStr">
        <is>
          <t>Domestic water mains line above ceiling, y</t>
        </is>
      </c>
      <c r="C21" s="9" t="inlineStr">
        <is>
          <t>wtr_y</t>
        </is>
      </c>
      <c r="D21" s="12" t="n">
        <v>10</v>
      </c>
      <c r="E21" s="8" t="inlineStr">
        <is>
          <t>ft</t>
        </is>
      </c>
      <c r="F21" s="11" t="inlineStr"/>
    </row>
    <row r="22">
      <c r="A22" s="8" t="inlineStr">
        <is>
          <t>Water</t>
        </is>
      </c>
      <c r="B22" s="8" t="inlineStr">
        <is>
          <t>Drop from main to fixture stop</t>
        </is>
      </c>
      <c r="C22" s="9" t="inlineStr">
        <is>
          <t>fix_drop</t>
        </is>
      </c>
      <c r="D22" s="12" t="n">
        <v>8</v>
      </c>
      <c r="E22" s="8" t="inlineStr">
        <is>
          <t>ft</t>
        </is>
      </c>
      <c r="F22" s="11" t="inlineStr">
        <is>
          <t>10'-0" to ~2'-0"</t>
        </is>
      </c>
    </row>
    <row r="23">
      <c r="A23" s="8" t="inlineStr">
        <is>
          <t>Water</t>
        </is>
      </c>
      <c r="B23" s="8" t="inlineStr">
        <is>
          <t>CW stub / meter location, x</t>
        </is>
      </c>
      <c r="C23" s="9" t="inlineStr">
        <is>
          <t>cw_entry_x</t>
        </is>
      </c>
      <c r="D23" s="12" t="n">
        <v>64</v>
      </c>
      <c r="E23" s="8" t="inlineStr">
        <is>
          <t>ft</t>
        </is>
      </c>
      <c r="F23" s="11" t="inlineStr">
        <is>
          <t>Shell-provided 1" stub</t>
        </is>
      </c>
    </row>
    <row r="24">
      <c r="A24" s="8" t="inlineStr">
        <is>
          <t>Water</t>
        </is>
      </c>
      <c r="B24" s="8" t="inlineStr">
        <is>
          <t>CW stub / meter location, y</t>
        </is>
      </c>
      <c r="C24" s="9" t="inlineStr">
        <is>
          <t>cw_entry_y</t>
        </is>
      </c>
      <c r="D24" s="12" t="n">
        <v>1</v>
      </c>
      <c r="E24" s="8" t="inlineStr">
        <is>
          <t>ft</t>
        </is>
      </c>
      <c r="F24" s="11" t="inlineStr"/>
    </row>
    <row r="25">
      <c r="A25" s="8" t="inlineStr">
        <is>
          <t>Water</t>
        </is>
      </c>
      <c r="B25" s="8" t="inlineStr">
        <is>
          <t>Riser from stub to ceiling</t>
        </is>
      </c>
      <c r="C25" s="9" t="inlineStr">
        <is>
          <t>wtr_rise</t>
        </is>
      </c>
      <c r="D25" s="12" t="n">
        <v>9</v>
      </c>
      <c r="E25" s="8" t="inlineStr">
        <is>
          <t>ft</t>
        </is>
      </c>
      <c r="F25" s="11" t="inlineStr"/>
    </row>
    <row r="26">
      <c r="A26" s="8" t="inlineStr">
        <is>
          <t>Water</t>
        </is>
      </c>
      <c r="B26" s="8" t="inlineStr">
        <is>
          <t>CW main east end, x</t>
        </is>
      </c>
      <c r="C26" s="9" t="inlineStr">
        <is>
          <t>cw_end_x</t>
        </is>
      </c>
      <c r="D26" s="12" t="n">
        <v>98</v>
      </c>
      <c r="E26" s="8" t="inlineStr">
        <is>
          <t>ft</t>
        </is>
      </c>
      <c r="F26" s="11" t="inlineStr"/>
    </row>
    <row r="27">
      <c r="A27" s="8" t="inlineStr">
        <is>
          <t>Water</t>
        </is>
      </c>
      <c r="B27" s="8" t="inlineStr">
        <is>
          <t>Water heater WH-1 location, x</t>
        </is>
      </c>
      <c r="C27" s="9" t="inlineStr">
        <is>
          <t>wh_x</t>
        </is>
      </c>
      <c r="D27" s="12" t="n">
        <v>73</v>
      </c>
      <c r="E27" s="8" t="inlineStr">
        <is>
          <t>ft</t>
        </is>
      </c>
      <c r="F27" s="11" t="inlineStr">
        <is>
          <t>Janitor 110</t>
        </is>
      </c>
    </row>
    <row r="28">
      <c r="A28" s="8" t="inlineStr">
        <is>
          <t>Water</t>
        </is>
      </c>
      <c r="B28" s="8" t="inlineStr">
        <is>
          <t>HW main east end, x</t>
        </is>
      </c>
      <c r="C28" s="9" t="inlineStr">
        <is>
          <t>hw_end_x</t>
        </is>
      </c>
      <c r="D28" s="12" t="n">
        <v>94</v>
      </c>
      <c r="E28" s="8" t="inlineStr">
        <is>
          <t>ft</t>
        </is>
      </c>
      <c r="F28" s="11" t="inlineStr">
        <is>
          <t>Break sink</t>
        </is>
      </c>
    </row>
    <row r="29">
      <c r="A29" s="8" t="inlineStr">
        <is>
          <t>Water</t>
        </is>
      </c>
      <c r="B29" s="8" t="inlineStr">
        <is>
          <t>WH outlet to ceiling</t>
        </is>
      </c>
      <c r="C29" s="9" t="inlineStr">
        <is>
          <t>wh_rise</t>
        </is>
      </c>
      <c r="D29" s="12" t="n">
        <v>4</v>
      </c>
      <c r="E29" s="8" t="inlineStr">
        <is>
          <t>ft</t>
        </is>
      </c>
      <c r="F29" s="11" t="inlineStr"/>
    </row>
    <row r="30">
      <c r="A30" s="8" t="inlineStr">
        <is>
          <t>Water</t>
        </is>
      </c>
      <c r="B30" s="8" t="inlineStr">
        <is>
          <t>WH cold inlet + T&amp;P relief to mop basin</t>
        </is>
      </c>
      <c r="C30" s="9" t="inlineStr">
        <is>
          <t>wh_conn</t>
        </is>
      </c>
      <c r="D30" s="12" t="n">
        <v>12</v>
      </c>
      <c r="E30" s="8" t="inlineStr">
        <is>
          <t>ft</t>
        </is>
      </c>
      <c r="F30" s="11" t="inlineStr">
        <is>
          <t>3/4" copper</t>
        </is>
      </c>
    </row>
    <row r="31">
      <c r="A31" s="8" t="inlineStr">
        <is>
          <t>Factors</t>
        </is>
      </c>
      <c r="B31" s="8" t="inlineStr">
        <is>
          <t>DWV pipe per fitting</t>
        </is>
      </c>
      <c r="C31" s="9" t="inlineStr">
        <is>
          <t>dwv_fit_lf</t>
        </is>
      </c>
      <c r="D31" s="12" t="n">
        <v>6</v>
      </c>
      <c r="E31" s="8" t="inlineStr">
        <is>
          <t>LF</t>
        </is>
      </c>
      <c r="F31" s="11" t="inlineStr">
        <is>
          <t>Estimator factor</t>
        </is>
      </c>
    </row>
    <row r="32">
      <c r="A32" s="8" t="inlineStr">
        <is>
          <t>Factors</t>
        </is>
      </c>
      <c r="B32" s="8" t="inlineStr">
        <is>
          <t>Copper pipe per fitting</t>
        </is>
      </c>
      <c r="C32" s="9" t="inlineStr">
        <is>
          <t>cu_fit_lf</t>
        </is>
      </c>
      <c r="D32" s="12" t="n">
        <v>5</v>
      </c>
      <c r="E32" s="8" t="inlineStr">
        <is>
          <t>LF</t>
        </is>
      </c>
      <c r="F32" s="11" t="inlineStr">
        <is>
          <t>Estimator factor</t>
        </is>
      </c>
    </row>
    <row r="33">
      <c r="A33" s="8" t="inlineStr">
        <is>
          <t>Factors</t>
        </is>
      </c>
      <c r="B33" s="8" t="inlineStr">
        <is>
          <t>Copper hanger spacing</t>
        </is>
      </c>
      <c r="C33" s="9" t="inlineStr">
        <is>
          <t>cu_hgr_lf</t>
        </is>
      </c>
      <c r="D33" s="12" t="n">
        <v>6</v>
      </c>
      <c r="E33" s="8" t="inlineStr">
        <is>
          <t>LF</t>
        </is>
      </c>
      <c r="F33" s="11" t="inlineStr"/>
    </row>
    <row r="34">
      <c r="A34" s="8" t="inlineStr">
        <is>
          <t>Factors</t>
        </is>
      </c>
      <c r="B34" s="8" t="inlineStr">
        <is>
          <t>Above-ground PVC hanger spacing</t>
        </is>
      </c>
      <c r="C34" s="9" t="inlineStr">
        <is>
          <t>pvc_hgr_lf</t>
        </is>
      </c>
      <c r="D34" s="12" t="n">
        <v>4</v>
      </c>
      <c r="E34" s="8" t="inlineStr">
        <is>
          <t>LF</t>
        </is>
      </c>
      <c r="F34" s="11" t="inlineStr"/>
    </row>
    <row r="35">
      <c r="A35" s="8" t="inlineStr">
        <is>
          <t>Rates</t>
        </is>
      </c>
      <c r="B35" s="8" t="inlineStr">
        <is>
          <t>Plumber labor rate (burdened)</t>
        </is>
      </c>
      <c r="C35" s="9" t="inlineStr">
        <is>
          <t>rate_plumb</t>
        </is>
      </c>
      <c r="D35" s="12" t="n">
        <v>84</v>
      </c>
      <c r="E35" s="8" t="inlineStr">
        <is>
          <t>$/hr</t>
        </is>
      </c>
      <c r="F35" s="11" t="inlineStr">
        <is>
          <t>Illustrative</t>
        </is>
      </c>
    </row>
    <row r="36">
      <c r="A36" s="8" t="inlineStr">
        <is>
          <t>Markups</t>
        </is>
      </c>
      <c r="B36" s="8" t="inlineStr">
        <is>
          <t>Sales tax on material</t>
        </is>
      </c>
      <c r="C36" s="9" t="inlineStr">
        <is>
          <t>tax_rate</t>
        </is>
      </c>
      <c r="D36" s="13" t="n">
        <v>0.07000000000000001</v>
      </c>
      <c r="E36" s="8" t="inlineStr">
        <is>
          <t>%</t>
        </is>
      </c>
      <c r="F36" s="11" t="inlineStr">
        <is>
          <t>Assumption</t>
        </is>
      </c>
    </row>
    <row r="37">
      <c r="A37" s="8" t="inlineStr">
        <is>
          <t>Markups</t>
        </is>
      </c>
      <c r="B37" s="8" t="inlineStr">
        <is>
          <t>Overhead</t>
        </is>
      </c>
      <c r="C37" s="9" t="inlineStr">
        <is>
          <t>oh_pct</t>
        </is>
      </c>
      <c r="D37" s="13" t="n">
        <v>0.1</v>
      </c>
      <c r="E37" s="8" t="inlineStr">
        <is>
          <t>%</t>
        </is>
      </c>
      <c r="F37" s="11" t="inlineStr">
        <is>
          <t>Assumption</t>
        </is>
      </c>
    </row>
    <row r="38">
      <c r="A38" s="8" t="inlineStr">
        <is>
          <t>Markups</t>
        </is>
      </c>
      <c r="B38" s="8" t="inlineStr">
        <is>
          <t>Profit</t>
        </is>
      </c>
      <c r="C38" s="9" t="inlineStr">
        <is>
          <t>profit_pct</t>
        </is>
      </c>
      <c r="D38" s="13" t="n">
        <v>0.1</v>
      </c>
      <c r="E38" s="8" t="inlineStr">
        <is>
          <t>%</t>
        </is>
      </c>
      <c r="F38" s="11" t="inlineStr">
        <is>
          <t>Assumption</t>
        </is>
      </c>
    </row>
    <row r="40">
      <c r="A40" s="2" t="inlineStr">
        <is>
          <t>SCOPE INCLUDED</t>
        </is>
      </c>
    </row>
    <row r="41">
      <c r="B41" s="5" t="inlineStr">
        <is>
          <t>• Fixtures and water heater per fixture schedule</t>
        </is>
      </c>
    </row>
    <row r="42">
      <c r="B42" s="5" t="inlineStr">
        <is>
          <t>• Below-slab PVC DWV, vents and VTR, cleanouts</t>
        </is>
      </c>
    </row>
    <row r="43">
      <c r="B43" s="5" t="inlineStr">
        <is>
          <t>• Type L copper domestic cold and hot water, valves, stops, insulation</t>
        </is>
      </c>
    </row>
    <row r="44">
      <c r="B44" s="5" t="inlineStr">
        <is>
          <t>• Trench and backfill for plumbing only</t>
        </is>
      </c>
    </row>
    <row r="45">
      <c r="B45" s="5" t="inlineStr">
        <is>
          <t>• Testing and disinfection</t>
        </is>
      </c>
    </row>
    <row r="47">
      <c r="A47" s="2" t="inlineStr">
        <is>
          <t>EXCLUSIONS / BY OTHERS</t>
        </is>
      </c>
    </row>
    <row r="48">
      <c r="B48" s="5" t="inlineStr">
        <is>
          <t>• Site sewer and water beyond 5' outside the building (by site contractor)</t>
        </is>
      </c>
    </row>
    <row r="49">
      <c r="B49" s="5" t="inlineStr">
        <is>
          <t>• Water meter and backflow (by shell)</t>
        </is>
      </c>
    </row>
    <row r="50">
      <c r="B50" s="5" t="inlineStr">
        <is>
          <t>• Electrical connection of WH-1 and EWC-1 (Div 26)</t>
        </is>
      </c>
    </row>
    <row r="51">
      <c r="B51" s="5" t="inlineStr">
        <is>
          <t>• Roofing patch at VTR (by roofer)</t>
        </is>
      </c>
    </row>
    <row r="52">
      <c r="B52" s="5" t="inlineStr">
        <is>
          <t>• Plenum-rated piping (a ducted-return ceiling is assumed); permit fees</t>
        </is>
      </c>
    </row>
    <row r="54">
      <c r="A54" s="2" t="inlineStr">
        <is>
          <t>SAMPLE DRAWING LIST (sheets of the representative sample project, not a real plan set)</t>
        </is>
      </c>
    </row>
    <row r="55">
      <c r="B55" s="5" t="inlineStr">
        <is>
          <t>• P-001 — Plumbing legend, fixture schedule (sample)</t>
        </is>
      </c>
    </row>
    <row r="56">
      <c r="B56" s="5" t="inlineStr">
        <is>
          <t>• P-101 — Sanitary &amp; vent plan (sample)</t>
        </is>
      </c>
    </row>
    <row r="57">
      <c r="B57" s="5" t="inlineStr">
        <is>
          <t>• P-201 — Domestic water plan (sample)</t>
        </is>
      </c>
    </row>
    <row r="58">
      <c r="B58" s="5" t="inlineStr">
        <is>
          <t>• P-501 — Riser diagrams (sample)</t>
        </is>
      </c>
    </row>
  </sheetData>
  <mergeCells count="2">
    <mergeCell ref="A3:F3"/>
    <mergeCell ref="B7:F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6" customWidth="1" min="2" max="2"/>
    <col width="36" customWidth="1" min="3" max="3"/>
    <col width="18" customWidth="1" min="4" max="4"/>
    <col width="7" customWidth="1" min="5" max="5"/>
    <col width="7" customWidth="1" min="6" max="6"/>
    <col width="5" customWidth="1" min="7" max="7"/>
    <col width="6" customWidth="1" min="8" max="8"/>
    <col width="9" customWidth="1" min="9" max="9"/>
    <col width="11" customWidth="1" min="10" max="10"/>
    <col width="9" customWidth="1" min="11" max="11"/>
    <col width="8" customWidth="1" min="12" max="12"/>
    <col width="8" customWidth="1" min="13" max="13"/>
    <col width="6" customWidth="1" min="14" max="14"/>
    <col width="9" customWidth="1" min="15" max="15"/>
    <col width="8" customWidth="1" min="16" max="16"/>
    <col width="6" customWidth="1" min="17" max="17"/>
    <col width="9" customWidth="1" min="18" max="18"/>
  </cols>
  <sheetData>
    <row r="1">
      <c r="A1" s="1" t="inlineStr">
        <is>
          <t>F&amp;K Estimatings</t>
        </is>
      </c>
    </row>
    <row r="2">
      <c r="A2" s="2" t="inlineStr">
        <is>
          <t>Plumbing Takeoff Sample — Fixture schedule &amp; branch piping (measured from fixture location)</t>
        </is>
      </c>
    </row>
    <row r="3" ht="36" customHeight="1">
      <c r="A3" s="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  <row r="4" ht="30" customHeight="1">
      <c r="A4" s="14" t="inlineStr">
        <is>
          <t>Waste branch = perpendicular distance to the building drain + stub. Vent = rise + run to the vent header. Water branch = drop + run from the mains line. Main runs are separate takeoff lines.</t>
        </is>
      </c>
    </row>
    <row r="5" ht="26" customHeight="1">
      <c r="A5" s="7" t="inlineStr">
        <is>
          <t>Tag</t>
        </is>
      </c>
      <c r="B5" s="7" t="inlineStr">
        <is>
          <t>Type</t>
        </is>
      </c>
      <c r="C5" s="7" t="inlineStr">
        <is>
          <t>Description</t>
        </is>
      </c>
      <c r="D5" s="7" t="inlineStr">
        <is>
          <t>Room</t>
        </is>
      </c>
      <c r="E5" s="7" t="inlineStr">
        <is>
          <t>x (ft)</t>
        </is>
      </c>
      <c r="F5" s="7" t="inlineStr">
        <is>
          <t>y (ft)</t>
        </is>
      </c>
      <c r="G5" s="7" t="inlineStr">
        <is>
          <t>Qty</t>
        </is>
      </c>
      <c r="H5" s="7" t="inlineStr">
        <is>
          <t>DFU</t>
        </is>
      </c>
      <c r="I5" s="7" t="inlineStr">
        <is>
          <t>Waste size</t>
        </is>
      </c>
      <c r="J5" s="7" t="inlineStr">
        <is>
          <t>Waste branch LF (below slab)</t>
        </is>
      </c>
      <c r="K5" s="7" t="inlineStr">
        <is>
          <t>Vent size</t>
        </is>
      </c>
      <c r="L5" s="7" t="inlineStr">
        <is>
          <t>Vent LF</t>
        </is>
      </c>
      <c r="M5" s="7" t="inlineStr">
        <is>
          <t>CW size</t>
        </is>
      </c>
      <c r="N5" s="7" t="inlineStr">
        <is>
          <t>CW conn.</t>
        </is>
      </c>
      <c r="O5" s="7" t="inlineStr">
        <is>
          <t>CW branch LF</t>
        </is>
      </c>
      <c r="P5" s="7" t="inlineStr">
        <is>
          <t>HW size</t>
        </is>
      </c>
      <c r="Q5" s="7" t="inlineStr">
        <is>
          <t>HW conn.</t>
        </is>
      </c>
      <c r="R5" s="7" t="inlineStr">
        <is>
          <t>HW branch LF</t>
        </is>
      </c>
    </row>
    <row r="6">
      <c r="A6" s="8" t="inlineStr">
        <is>
          <t>WC-1a</t>
        </is>
      </c>
      <c r="B6" s="8" t="inlineStr">
        <is>
          <t>WC</t>
        </is>
      </c>
      <c r="C6" s="8" t="inlineStr">
        <is>
          <t>Water closet, floor-mount ADA, tank type</t>
        </is>
      </c>
      <c r="D6" s="8" t="inlineStr">
        <is>
          <t>Women 111</t>
        </is>
      </c>
      <c r="E6" s="15" t="n">
        <v>80</v>
      </c>
      <c r="F6" s="15" t="n">
        <v>2</v>
      </c>
      <c r="G6" s="16" t="n">
        <v>1</v>
      </c>
      <c r="H6" s="15" t="n">
        <v>3</v>
      </c>
      <c r="I6" s="8" t="inlineStr">
        <is>
          <t>3 in</t>
        </is>
      </c>
      <c r="J6" s="17">
        <f>ABS(F6-main_y)+stub_ug</f>
        <v>4.0</v>
      </c>
      <c r="K6" s="8" t="inlineStr">
        <is>
          <t>2 in</t>
        </is>
      </c>
      <c r="L6" s="17">
        <f>vent_rise+ABS(F6-vent_y)</f>
        <v>8.0</v>
      </c>
      <c r="M6" s="8" t="inlineStr">
        <is>
          <t>1/2 in</t>
        </is>
      </c>
      <c r="N6" s="16" t="n">
        <v>1</v>
      </c>
      <c r="O6" s="17">
        <f>N6*(fix_drop+ABS(F6-wtr_y))</f>
        <v>16.0</v>
      </c>
      <c r="P6" s="8" t="inlineStr">
        <is>
          <t>-</t>
        </is>
      </c>
      <c r="Q6" s="16" t="n">
        <v>0</v>
      </c>
      <c r="R6" s="17">
        <f>Q6*(fix_drop+ABS(F6-wtr_y))</f>
        <v>0.0</v>
      </c>
    </row>
    <row r="7">
      <c r="A7" s="8" t="inlineStr">
        <is>
          <t>LAV-1a</t>
        </is>
      </c>
      <c r="B7" s="8" t="inlineStr">
        <is>
          <t>LAV</t>
        </is>
      </c>
      <c r="C7" s="8" t="inlineStr">
        <is>
          <t>Lavatory, wall-hung ADA w/ carrier, faucet</t>
        </is>
      </c>
      <c r="D7" s="8" t="inlineStr">
        <is>
          <t>Women 111</t>
        </is>
      </c>
      <c r="E7" s="15" t="n">
        <v>86</v>
      </c>
      <c r="F7" s="15" t="n">
        <v>2</v>
      </c>
      <c r="G7" s="16" t="n">
        <v>1</v>
      </c>
      <c r="H7" s="15" t="n">
        <v>1</v>
      </c>
      <c r="I7" s="8" t="inlineStr">
        <is>
          <t>1-1/2 in</t>
        </is>
      </c>
      <c r="J7" s="17">
        <f>ABS(F7-main_y)+stub_ug</f>
        <v>4.0</v>
      </c>
      <c r="K7" s="8" t="inlineStr">
        <is>
          <t>1-1/2 in</t>
        </is>
      </c>
      <c r="L7" s="17">
        <f>vent_rise+ABS(F7-vent_y)</f>
        <v>8.0</v>
      </c>
      <c r="M7" s="8" t="inlineStr">
        <is>
          <t>1/2 in</t>
        </is>
      </c>
      <c r="N7" s="16" t="n">
        <v>1</v>
      </c>
      <c r="O7" s="17">
        <f>N7*(fix_drop+ABS(F7-wtr_y))</f>
        <v>16.0</v>
      </c>
      <c r="P7" s="8" t="inlineStr">
        <is>
          <t>1/2 in</t>
        </is>
      </c>
      <c r="Q7" s="16" t="n">
        <v>1</v>
      </c>
      <c r="R7" s="17">
        <f>Q7*(fix_drop+ABS(F7-wtr_y))</f>
        <v>16.0</v>
      </c>
    </row>
    <row r="8">
      <c r="A8" s="8" t="inlineStr">
        <is>
          <t>FD-1a</t>
        </is>
      </c>
      <c r="B8" s="8" t="inlineStr">
        <is>
          <t>FD</t>
        </is>
      </c>
      <c r="C8" s="8" t="inlineStr">
        <is>
          <t>Floor drain 3" w/ trap primer tap</t>
        </is>
      </c>
      <c r="D8" s="8" t="inlineStr">
        <is>
          <t>Women 111</t>
        </is>
      </c>
      <c r="E8" s="15" t="n">
        <v>84</v>
      </c>
      <c r="F8" s="15" t="n">
        <v>6</v>
      </c>
      <c r="G8" s="16" t="n">
        <v>1</v>
      </c>
      <c r="H8" s="15" t="n">
        <v>2</v>
      </c>
      <c r="I8" s="8" t="inlineStr">
        <is>
          <t>3 in</t>
        </is>
      </c>
      <c r="J8" s="17">
        <f>ABS(F8-main_y)+stub_ug</f>
        <v>4.0</v>
      </c>
      <c r="K8" s="8" t="inlineStr">
        <is>
          <t>1-1/2 in</t>
        </is>
      </c>
      <c r="L8" s="17">
        <f>vent_rise+ABS(F8-vent_y)</f>
        <v>12.0</v>
      </c>
      <c r="M8" s="8" t="inlineStr">
        <is>
          <t>-</t>
        </is>
      </c>
      <c r="N8" s="16" t="n">
        <v>0</v>
      </c>
      <c r="O8" s="17">
        <f>N8*(fix_drop+ABS(F8-wtr_y))</f>
        <v>0.0</v>
      </c>
      <c r="P8" s="8" t="inlineStr">
        <is>
          <t>-</t>
        </is>
      </c>
      <c r="Q8" s="16" t="n">
        <v>0</v>
      </c>
      <c r="R8" s="17">
        <f>Q8*(fix_drop+ABS(F8-wtr_y))</f>
        <v>0.0</v>
      </c>
    </row>
    <row r="9">
      <c r="A9" s="8" t="inlineStr">
        <is>
          <t>WC-1b</t>
        </is>
      </c>
      <c r="B9" s="8" t="inlineStr">
        <is>
          <t>WC</t>
        </is>
      </c>
      <c r="C9" s="8" t="inlineStr">
        <is>
          <t>Water closet, floor-mount ADA, tank type</t>
        </is>
      </c>
      <c r="D9" s="8" t="inlineStr">
        <is>
          <t>Men 112</t>
        </is>
      </c>
      <c r="E9" s="15" t="n">
        <v>98</v>
      </c>
      <c r="F9" s="15" t="n">
        <v>2</v>
      </c>
      <c r="G9" s="16" t="n">
        <v>1</v>
      </c>
      <c r="H9" s="15" t="n">
        <v>3</v>
      </c>
      <c r="I9" s="8" t="inlineStr">
        <is>
          <t>3 in</t>
        </is>
      </c>
      <c r="J9" s="17">
        <f>ABS(F9-main_y)+stub_ug</f>
        <v>4.0</v>
      </c>
      <c r="K9" s="8" t="inlineStr">
        <is>
          <t>2 in</t>
        </is>
      </c>
      <c r="L9" s="17">
        <f>vent_rise+ABS(F9-vent_y)</f>
        <v>8.0</v>
      </c>
      <c r="M9" s="8" t="inlineStr">
        <is>
          <t>1/2 in</t>
        </is>
      </c>
      <c r="N9" s="16" t="n">
        <v>1</v>
      </c>
      <c r="O9" s="17">
        <f>N9*(fix_drop+ABS(F9-wtr_y))</f>
        <v>16.0</v>
      </c>
      <c r="P9" s="8" t="inlineStr">
        <is>
          <t>-</t>
        </is>
      </c>
      <c r="Q9" s="16" t="n">
        <v>0</v>
      </c>
      <c r="R9" s="17">
        <f>Q9*(fix_drop+ABS(F9-wtr_y))</f>
        <v>0.0</v>
      </c>
    </row>
    <row r="10">
      <c r="A10" s="8" t="inlineStr">
        <is>
          <t>UR-1</t>
        </is>
      </c>
      <c r="B10" s="8" t="inlineStr">
        <is>
          <t>UR</t>
        </is>
      </c>
      <c r="C10" s="8" t="inlineStr">
        <is>
          <t>Urinal, wall-hung w/ flush valve</t>
        </is>
      </c>
      <c r="D10" s="8" t="inlineStr">
        <is>
          <t>Men 112</t>
        </is>
      </c>
      <c r="E10" s="15" t="n">
        <v>94</v>
      </c>
      <c r="F10" s="15" t="n">
        <v>1</v>
      </c>
      <c r="G10" s="16" t="n">
        <v>1</v>
      </c>
      <c r="H10" s="15" t="n">
        <v>4</v>
      </c>
      <c r="I10" s="8" t="inlineStr">
        <is>
          <t>2 in</t>
        </is>
      </c>
      <c r="J10" s="17">
        <f>ABS(F10-main_y)+stub_ug</f>
        <v>5.0</v>
      </c>
      <c r="K10" s="8" t="inlineStr">
        <is>
          <t>1-1/2 in</t>
        </is>
      </c>
      <c r="L10" s="17">
        <f>vent_rise+ABS(F10-vent_y)</f>
        <v>9.0</v>
      </c>
      <c r="M10" s="8" t="inlineStr">
        <is>
          <t>3/4 in</t>
        </is>
      </c>
      <c r="N10" s="16" t="n">
        <v>1</v>
      </c>
      <c r="O10" s="17">
        <f>N10*(fix_drop+ABS(F10-wtr_y))</f>
        <v>17.0</v>
      </c>
      <c r="P10" s="8" t="inlineStr">
        <is>
          <t>-</t>
        </is>
      </c>
      <c r="Q10" s="16" t="n">
        <v>0</v>
      </c>
      <c r="R10" s="17">
        <f>Q10*(fix_drop+ABS(F10-wtr_y))</f>
        <v>0.0</v>
      </c>
    </row>
    <row r="11">
      <c r="A11" s="8" t="inlineStr">
        <is>
          <t>LAV-1b</t>
        </is>
      </c>
      <c r="B11" s="8" t="inlineStr">
        <is>
          <t>LAV</t>
        </is>
      </c>
      <c r="C11" s="8" t="inlineStr">
        <is>
          <t>Lavatory, wall-hung ADA w/ carrier, faucet</t>
        </is>
      </c>
      <c r="D11" s="8" t="inlineStr">
        <is>
          <t>Men 112</t>
        </is>
      </c>
      <c r="E11" s="15" t="n">
        <v>91</v>
      </c>
      <c r="F11" s="15" t="n">
        <v>2</v>
      </c>
      <c r="G11" s="16" t="n">
        <v>1</v>
      </c>
      <c r="H11" s="15" t="n">
        <v>1</v>
      </c>
      <c r="I11" s="8" t="inlineStr">
        <is>
          <t>1-1/2 in</t>
        </is>
      </c>
      <c r="J11" s="17">
        <f>ABS(F11-main_y)+stub_ug</f>
        <v>4.0</v>
      </c>
      <c r="K11" s="8" t="inlineStr">
        <is>
          <t>1-1/2 in</t>
        </is>
      </c>
      <c r="L11" s="17">
        <f>vent_rise+ABS(F11-vent_y)</f>
        <v>8.0</v>
      </c>
      <c r="M11" s="8" t="inlineStr">
        <is>
          <t>1/2 in</t>
        </is>
      </c>
      <c r="N11" s="16" t="n">
        <v>1</v>
      </c>
      <c r="O11" s="17">
        <f>N11*(fix_drop+ABS(F11-wtr_y))</f>
        <v>16.0</v>
      </c>
      <c r="P11" s="8" t="inlineStr">
        <is>
          <t>1/2 in</t>
        </is>
      </c>
      <c r="Q11" s="16" t="n">
        <v>1</v>
      </c>
      <c r="R11" s="17">
        <f>Q11*(fix_drop+ABS(F11-wtr_y))</f>
        <v>16.0</v>
      </c>
    </row>
    <row r="12">
      <c r="A12" s="8" t="inlineStr">
        <is>
          <t>FD-1b</t>
        </is>
      </c>
      <c r="B12" s="8" t="inlineStr">
        <is>
          <t>FD</t>
        </is>
      </c>
      <c r="C12" s="8" t="inlineStr">
        <is>
          <t>Floor drain 3" w/ trap primer tap</t>
        </is>
      </c>
      <c r="D12" s="8" t="inlineStr">
        <is>
          <t>Men 112</t>
        </is>
      </c>
      <c r="E12" s="15" t="n">
        <v>95</v>
      </c>
      <c r="F12" s="15" t="n">
        <v>6</v>
      </c>
      <c r="G12" s="16" t="n">
        <v>1</v>
      </c>
      <c r="H12" s="15" t="n">
        <v>2</v>
      </c>
      <c r="I12" s="8" t="inlineStr">
        <is>
          <t>3 in</t>
        </is>
      </c>
      <c r="J12" s="17">
        <f>ABS(F12-main_y)+stub_ug</f>
        <v>4.0</v>
      </c>
      <c r="K12" s="8" t="inlineStr">
        <is>
          <t>1-1/2 in</t>
        </is>
      </c>
      <c r="L12" s="17">
        <f>vent_rise+ABS(F12-vent_y)</f>
        <v>12.0</v>
      </c>
      <c r="M12" s="8" t="inlineStr">
        <is>
          <t>-</t>
        </is>
      </c>
      <c r="N12" s="16" t="n">
        <v>0</v>
      </c>
      <c r="O12" s="17">
        <f>N12*(fix_drop+ABS(F12-wtr_y))</f>
        <v>0.0</v>
      </c>
      <c r="P12" s="8" t="inlineStr">
        <is>
          <t>-</t>
        </is>
      </c>
      <c r="Q12" s="16" t="n">
        <v>0</v>
      </c>
      <c r="R12" s="17">
        <f>Q12*(fix_drop+ABS(F12-wtr_y))</f>
        <v>0.0</v>
      </c>
    </row>
    <row r="13">
      <c r="A13" s="8" t="inlineStr">
        <is>
          <t>MS-1</t>
        </is>
      </c>
      <c r="B13" s="8" t="inlineStr">
        <is>
          <t>MS</t>
        </is>
      </c>
      <c r="C13" s="8" t="inlineStr">
        <is>
          <t>Mop service basin 24x24 w/ faucet</t>
        </is>
      </c>
      <c r="D13" s="8" t="inlineStr">
        <is>
          <t>Janitor 110</t>
        </is>
      </c>
      <c r="E13" s="15" t="n">
        <v>75</v>
      </c>
      <c r="F13" s="15" t="n">
        <v>2</v>
      </c>
      <c r="G13" s="16" t="n">
        <v>1</v>
      </c>
      <c r="H13" s="15" t="n">
        <v>3</v>
      </c>
      <c r="I13" s="8" t="inlineStr">
        <is>
          <t>3 in</t>
        </is>
      </c>
      <c r="J13" s="17">
        <f>ABS(F13-main_y)+stub_ug</f>
        <v>4.0</v>
      </c>
      <c r="K13" s="8" t="inlineStr">
        <is>
          <t>1-1/2 in</t>
        </is>
      </c>
      <c r="L13" s="17">
        <f>vent_rise+ABS(F13-vent_y)</f>
        <v>8.0</v>
      </c>
      <c r="M13" s="8" t="inlineStr">
        <is>
          <t>1/2 in</t>
        </is>
      </c>
      <c r="N13" s="16" t="n">
        <v>1</v>
      </c>
      <c r="O13" s="17">
        <f>N13*(fix_drop+ABS(F13-wtr_y))</f>
        <v>16.0</v>
      </c>
      <c r="P13" s="8" t="inlineStr">
        <is>
          <t>1/2 in</t>
        </is>
      </c>
      <c r="Q13" s="16" t="n">
        <v>1</v>
      </c>
      <c r="R13" s="17">
        <f>Q13*(fix_drop+ABS(F13-wtr_y))</f>
        <v>16.0</v>
      </c>
    </row>
    <row r="14">
      <c r="A14" s="8" t="inlineStr">
        <is>
          <t>SK-1</t>
        </is>
      </c>
      <c r="B14" s="8" t="inlineStr">
        <is>
          <t>SK</t>
        </is>
      </c>
      <c r="C14" s="8" t="inlineStr">
        <is>
          <t>Break-room sink, SS single bowl, faucet</t>
        </is>
      </c>
      <c r="D14" s="8" t="inlineStr">
        <is>
          <t>Break Room 108</t>
        </is>
      </c>
      <c r="E14" s="15" t="n">
        <v>94</v>
      </c>
      <c r="F14" s="15" t="n">
        <v>12.5</v>
      </c>
      <c r="G14" s="16" t="n">
        <v>1</v>
      </c>
      <c r="H14" s="15" t="n">
        <v>2</v>
      </c>
      <c r="I14" s="8" t="inlineStr">
        <is>
          <t>2 in</t>
        </is>
      </c>
      <c r="J14" s="17">
        <f>ABS(F14-main_y)+stub_ug</f>
        <v>10.5</v>
      </c>
      <c r="K14" s="8" t="inlineStr">
        <is>
          <t>1-1/2 in</t>
        </is>
      </c>
      <c r="L14" s="17">
        <f>vent_rise+ABS(F14-vent_y)</f>
        <v>18.5</v>
      </c>
      <c r="M14" s="8" t="inlineStr">
        <is>
          <t>1/2 in</t>
        </is>
      </c>
      <c r="N14" s="16" t="n">
        <v>1</v>
      </c>
      <c r="O14" s="17">
        <f>N14*(fix_drop+ABS(F14-wtr_y))</f>
        <v>10.5</v>
      </c>
      <c r="P14" s="8" t="inlineStr">
        <is>
          <t>1/2 in</t>
        </is>
      </c>
      <c r="Q14" s="16" t="n">
        <v>1</v>
      </c>
      <c r="R14" s="17">
        <f>Q14*(fix_drop+ABS(F14-wtr_y))</f>
        <v>10.5</v>
      </c>
    </row>
    <row r="15">
      <c r="A15" s="8" t="inlineStr">
        <is>
          <t>EWC-1</t>
        </is>
      </c>
      <c r="B15" s="8" t="inlineStr">
        <is>
          <t>EWC</t>
        </is>
      </c>
      <c r="C15" s="8" t="inlineStr">
        <is>
          <t>Electric water cooler, bi-level ADA</t>
        </is>
      </c>
      <c r="D15" s="8" t="inlineStr">
        <is>
          <t>Open office (at core wall)</t>
        </is>
      </c>
      <c r="E15" s="15" t="n">
        <v>74</v>
      </c>
      <c r="F15" s="15" t="n">
        <v>12.5</v>
      </c>
      <c r="G15" s="16" t="n">
        <v>1</v>
      </c>
      <c r="H15" s="15" t="n">
        <v>0.5</v>
      </c>
      <c r="I15" s="8" t="inlineStr">
        <is>
          <t>1-1/2 in</t>
        </is>
      </c>
      <c r="J15" s="17">
        <f>ABS(F15-main_y)+stub_ug</f>
        <v>10.5</v>
      </c>
      <c r="K15" s="8" t="inlineStr">
        <is>
          <t>1-1/2 in</t>
        </is>
      </c>
      <c r="L15" s="17">
        <f>vent_rise+ABS(F15-vent_y)</f>
        <v>18.5</v>
      </c>
      <c r="M15" s="8" t="inlineStr">
        <is>
          <t>1/2 in</t>
        </is>
      </c>
      <c r="N15" s="16" t="n">
        <v>1</v>
      </c>
      <c r="O15" s="17">
        <f>N15*(fix_drop+ABS(F15-wtr_y))</f>
        <v>10.5</v>
      </c>
      <c r="P15" s="8" t="inlineStr">
        <is>
          <t>-</t>
        </is>
      </c>
      <c r="Q15" s="16" t="n">
        <v>0</v>
      </c>
      <c r="R15" s="17">
        <f>Q15*(fix_drop+ABS(F15-wtr_y))</f>
        <v>0.0</v>
      </c>
    </row>
    <row r="16">
      <c r="A16" s="18" t="inlineStr">
        <is>
          <t>Totals</t>
        </is>
      </c>
      <c r="G16" s="19">
        <f>SUM(G6:G15)</f>
        <v>10.0</v>
      </c>
      <c r="H16" s="20">
        <f>SUM(H6:H15)</f>
        <v>21.5</v>
      </c>
      <c r="J16" s="20">
        <f>SUM(J6:J15)</f>
        <v>54.0</v>
      </c>
      <c r="L16" s="20">
        <f>SUM(L6:L15)</f>
        <v>110.0</v>
      </c>
      <c r="N16" s="19">
        <f>SUM(N6:N15)</f>
        <v>8.0</v>
      </c>
      <c r="O16" s="20">
        <f>SUM(O6:O15)</f>
        <v>118.0</v>
      </c>
      <c r="Q16" s="19">
        <f>SUM(Q6:Q15)</f>
        <v>4.0</v>
      </c>
      <c r="R16" s="20">
        <f>SUM(R6:R15)</f>
        <v>58.5</v>
      </c>
    </row>
  </sheetData>
  <mergeCells count="2">
    <mergeCell ref="A3:R3"/>
    <mergeCell ref="A4:R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18" customWidth="1" min="3" max="3"/>
    <col width="44" customWidth="1" min="4" max="4"/>
    <col width="12" customWidth="1" min="5" max="5"/>
    <col width="7" customWidth="1" min="6" max="6"/>
    <col width="8" customWidth="1" min="7" max="7"/>
    <col width="13" customWidth="1" min="8" max="8"/>
    <col width="56" customWidth="1" min="9" max="9"/>
    <col width="36" customWidth="1" min="10" max="10"/>
  </cols>
  <sheetData>
    <row r="1">
      <c r="A1" s="1" t="inlineStr">
        <is>
          <t>F&amp;K Estimatings</t>
        </is>
      </c>
    </row>
    <row r="2">
      <c r="A2" s="2" t="inlineStr">
        <is>
          <t>Plumbing Takeoff Sample — Quantity Takeoff</t>
        </is>
      </c>
    </row>
    <row r="3" ht="36" customHeight="1">
      <c r="A3" s="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  <row r="4">
      <c r="A4" s="21" t="inlineStr">
        <is>
          <t>Qty column holds live formulas that reference the named assumptions on 'Cover &amp; Basis' (and the schedule sheets). Column I shows the same formula in readable form.</t>
        </is>
      </c>
    </row>
    <row r="5" ht="26" customHeight="1">
      <c r="A5" s="7" t="inlineStr">
        <is>
          <t>Item</t>
        </is>
      </c>
      <c r="B5" s="7" t="inlineStr">
        <is>
          <t>CSI</t>
        </is>
      </c>
      <c r="C5" s="7" t="inlineStr">
        <is>
          <t>Group</t>
        </is>
      </c>
      <c r="D5" s="7" t="inlineStr">
        <is>
          <t>Description</t>
        </is>
      </c>
      <c r="E5" s="7" t="inlineStr">
        <is>
          <t>Qty</t>
        </is>
      </c>
      <c r="F5" s="7" t="inlineStr">
        <is>
          <t>Unit</t>
        </is>
      </c>
      <c r="G5" s="7" t="inlineStr">
        <is>
          <t>Waste %</t>
        </is>
      </c>
      <c r="H5" s="7" t="inlineStr">
        <is>
          <t>Qty incl. waste</t>
        </is>
      </c>
      <c r="I5" s="7" t="inlineStr">
        <is>
          <t>Formula / basis</t>
        </is>
      </c>
      <c r="J5" s="7" t="inlineStr">
        <is>
          <t>Notes</t>
        </is>
      </c>
    </row>
    <row r="6">
      <c r="A6" s="8" t="n">
        <v>1</v>
      </c>
      <c r="B6" s="8" t="inlineStr">
        <is>
          <t>22 40 00</t>
        </is>
      </c>
      <c r="C6" s="8" t="inlineStr">
        <is>
          <t>Fixtures &amp; equipment</t>
        </is>
      </c>
      <c r="D6" s="11" t="inlineStr">
        <is>
          <t>Water closet WC-1, ADA tank type, seat, supply</t>
        </is>
      </c>
      <c r="E6" s="22">
        <f>SUMIF('Fixture Schedule'!$B$6:$B$15,"WC",'Fixture Schedule'!$G$6:$G$15)</f>
        <v>2.0</v>
      </c>
      <c r="F6" s="8" t="inlineStr">
        <is>
          <t>EA</t>
        </is>
      </c>
      <c r="G6" s="13" t="n">
        <v>0</v>
      </c>
      <c r="H6" s="23">
        <f>E6*(1+G6)</f>
        <v>2.0</v>
      </c>
      <c r="I6" s="24" t="inlineStr">
        <is>
          <t>Σ[Fixture Schedule: Qty where Type = "WC"]</t>
        </is>
      </c>
      <c r="J6" s="25" t="inlineStr"/>
    </row>
    <row r="7">
      <c r="A7" s="8" t="n">
        <v>2</v>
      </c>
      <c r="B7" s="8" t="inlineStr">
        <is>
          <t>22 40 00</t>
        </is>
      </c>
      <c r="C7" s="8" t="inlineStr">
        <is>
          <t>Fixtures &amp; equipment</t>
        </is>
      </c>
      <c r="D7" s="11" t="inlineStr">
        <is>
          <t>Urinal UR-1 w/ flush valve</t>
        </is>
      </c>
      <c r="E7" s="22">
        <f>SUMIF('Fixture Schedule'!$B$6:$B$15,"UR",'Fixture Schedule'!$G$6:$G$15)</f>
        <v>1.0</v>
      </c>
      <c r="F7" s="8" t="inlineStr">
        <is>
          <t>EA</t>
        </is>
      </c>
      <c r="G7" s="13" t="n">
        <v>0</v>
      </c>
      <c r="H7" s="23">
        <f>E7*(1+G7)</f>
        <v>1.0</v>
      </c>
      <c r="I7" s="24" t="inlineStr">
        <is>
          <t>Σ[Fixture Schedule: Qty where Type = "UR"]</t>
        </is>
      </c>
      <c r="J7" s="25" t="inlineStr"/>
    </row>
    <row r="8">
      <c r="A8" s="8" t="n">
        <v>3</v>
      </c>
      <c r="B8" s="8" t="inlineStr">
        <is>
          <t>22 40 00</t>
        </is>
      </c>
      <c r="C8" s="8" t="inlineStr">
        <is>
          <t>Fixtures &amp; equipment</t>
        </is>
      </c>
      <c r="D8" s="11" t="inlineStr">
        <is>
          <t>Lavatory LAV-1 wall-hung w/ carrier and faucet</t>
        </is>
      </c>
      <c r="E8" s="22">
        <f>SUMIF('Fixture Schedule'!$B$6:$B$15,"LAV",'Fixture Schedule'!$G$6:$G$15)</f>
        <v>2.0</v>
      </c>
      <c r="F8" s="8" t="inlineStr">
        <is>
          <t>EA</t>
        </is>
      </c>
      <c r="G8" s="13" t="n">
        <v>0</v>
      </c>
      <c r="H8" s="23">
        <f>E8*(1+G8)</f>
        <v>2.0</v>
      </c>
      <c r="I8" s="24" t="inlineStr">
        <is>
          <t>Σ[Fixture Schedule: Qty where Type = "LAV"]</t>
        </is>
      </c>
      <c r="J8" s="25" t="inlineStr"/>
    </row>
    <row r="9">
      <c r="A9" s="8" t="n">
        <v>4</v>
      </c>
      <c r="B9" s="8" t="inlineStr">
        <is>
          <t>22 40 00</t>
        </is>
      </c>
      <c r="C9" s="8" t="inlineStr">
        <is>
          <t>Fixtures &amp; equipment</t>
        </is>
      </c>
      <c r="D9" s="11" t="inlineStr">
        <is>
          <t>Sink SK-1 stainless single bowl w/ faucet</t>
        </is>
      </c>
      <c r="E9" s="22">
        <f>SUMIF('Fixture Schedule'!$B$6:$B$15,"SK",'Fixture Schedule'!$G$6:$G$15)</f>
        <v>1.0</v>
      </c>
      <c r="F9" s="8" t="inlineStr">
        <is>
          <t>EA</t>
        </is>
      </c>
      <c r="G9" s="13" t="n">
        <v>0</v>
      </c>
      <c r="H9" s="23">
        <f>E9*(1+G9)</f>
        <v>1.0</v>
      </c>
      <c r="I9" s="24" t="inlineStr">
        <is>
          <t>Σ[Fixture Schedule: Qty where Type = "SK"]</t>
        </is>
      </c>
      <c r="J9" s="25" t="inlineStr"/>
    </row>
    <row r="10">
      <c r="A10" s="8" t="n">
        <v>5</v>
      </c>
      <c r="B10" s="8" t="inlineStr">
        <is>
          <t>22 40 00</t>
        </is>
      </c>
      <c r="C10" s="8" t="inlineStr">
        <is>
          <t>Fixtures &amp; equipment</t>
        </is>
      </c>
      <c r="D10" s="11" t="inlineStr">
        <is>
          <t>Mop service basin MS-1 w/ faucet</t>
        </is>
      </c>
      <c r="E10" s="22">
        <f>SUMIF('Fixture Schedule'!$B$6:$B$15,"MS",'Fixture Schedule'!$G$6:$G$15)</f>
        <v>1.0</v>
      </c>
      <c r="F10" s="8" t="inlineStr">
        <is>
          <t>EA</t>
        </is>
      </c>
      <c r="G10" s="13" t="n">
        <v>0</v>
      </c>
      <c r="H10" s="23">
        <f>E10*(1+G10)</f>
        <v>1.0</v>
      </c>
      <c r="I10" s="24" t="inlineStr">
        <is>
          <t>Σ[Fixture Schedule: Qty where Type = "MS"]</t>
        </is>
      </c>
      <c r="J10" s="25" t="inlineStr"/>
    </row>
    <row r="11">
      <c r="A11" s="8" t="n">
        <v>6</v>
      </c>
      <c r="B11" s="8" t="inlineStr">
        <is>
          <t>22 40 00</t>
        </is>
      </c>
      <c r="C11" s="8" t="inlineStr">
        <is>
          <t>Fixtures &amp; equipment</t>
        </is>
      </c>
      <c r="D11" s="11" t="inlineStr">
        <is>
          <t>Electric water cooler EWC-1 bi-level</t>
        </is>
      </c>
      <c r="E11" s="22">
        <f>SUMIF('Fixture Schedule'!$B$6:$B$15,"EWC",'Fixture Schedule'!$G$6:$G$15)</f>
        <v>1.0</v>
      </c>
      <c r="F11" s="8" t="inlineStr">
        <is>
          <t>EA</t>
        </is>
      </c>
      <c r="G11" s="13" t="n">
        <v>0</v>
      </c>
      <c r="H11" s="23">
        <f>E11*(1+G11)</f>
        <v>1.0</v>
      </c>
      <c r="I11" s="24" t="inlineStr">
        <is>
          <t>Σ[Fixture Schedule: Qty where Type = "EWC"]</t>
        </is>
      </c>
      <c r="J11" s="25" t="inlineStr"/>
    </row>
    <row r="12">
      <c r="A12" s="8" t="n">
        <v>7</v>
      </c>
      <c r="B12" s="8" t="inlineStr">
        <is>
          <t>22 40 00</t>
        </is>
      </c>
      <c r="C12" s="8" t="inlineStr">
        <is>
          <t>Fixtures &amp; equipment</t>
        </is>
      </c>
      <c r="D12" s="11" t="inlineStr">
        <is>
          <t>Floor drain FD-1 3"</t>
        </is>
      </c>
      <c r="E12" s="22">
        <f>SUMIF('Fixture Schedule'!$B$6:$B$15,"FD",'Fixture Schedule'!$G$6:$G$15)</f>
        <v>2.0</v>
      </c>
      <c r="F12" s="8" t="inlineStr">
        <is>
          <t>EA</t>
        </is>
      </c>
      <c r="G12" s="13" t="n">
        <v>0</v>
      </c>
      <c r="H12" s="23">
        <f>E12*(1+G12)</f>
        <v>2.0</v>
      </c>
      <c r="I12" s="24" t="inlineStr">
        <is>
          <t>Σ[Fixture Schedule: Qty where Type = "FD"]</t>
        </is>
      </c>
      <c r="J12" s="25" t="inlineStr"/>
    </row>
    <row r="13">
      <c r="A13" s="8" t="n">
        <v>8</v>
      </c>
      <c r="B13" s="8" t="inlineStr">
        <is>
          <t>22 33 00</t>
        </is>
      </c>
      <c r="C13" s="8" t="inlineStr">
        <is>
          <t>Fixtures &amp; equipment</t>
        </is>
      </c>
      <c r="D13" s="11" t="inlineStr">
        <is>
          <t>Water heater WH-1, 40 gal electric 4.5 kW, w/ expansion tank</t>
        </is>
      </c>
      <c r="E13" s="22">
        <f>1</f>
        <v>1.0</v>
      </c>
      <c r="F13" s="8" t="inlineStr">
        <is>
          <t>EA</t>
        </is>
      </c>
      <c r="G13" s="13" t="n">
        <v>0</v>
      </c>
      <c r="H13" s="23">
        <f>E13*(1+G13)</f>
        <v>1.0</v>
      </c>
      <c r="I13" s="24" t="inlineStr">
        <is>
          <t>1 (counted / stated)</t>
        </is>
      </c>
      <c r="J13" s="25" t="inlineStr"/>
    </row>
    <row r="14">
      <c r="A14" s="8" t="n">
        <v>9</v>
      </c>
      <c r="B14" s="8" t="inlineStr">
        <is>
          <t>22 13 00</t>
        </is>
      </c>
      <c r="C14" s="8" t="inlineStr">
        <is>
          <t>Fixtures &amp; equipment</t>
        </is>
      </c>
      <c r="D14" s="11" t="inlineStr">
        <is>
          <t>Total drainage fixture units (check vs 4" building drain)</t>
        </is>
      </c>
      <c r="E14" s="22">
        <f>SUM('Fixture Schedule'!$H$6:$H$15)</f>
        <v>21.5</v>
      </c>
      <c r="F14" s="8" t="inlineStr">
        <is>
          <t>DFU</t>
        </is>
      </c>
      <c r="G14" s="13" t="n">
        <v>0</v>
      </c>
      <c r="H14" s="23">
        <f>E14*(1+G14)</f>
        <v>21.5</v>
      </c>
      <c r="I14" s="24" t="inlineStr">
        <is>
          <t>Σ[Fixture Schedule: DFU]</t>
        </is>
      </c>
      <c r="J14" s="25" t="inlineStr"/>
    </row>
    <row r="15">
      <c r="A15" s="8" t="n">
        <v>10</v>
      </c>
      <c r="B15" s="8" t="inlineStr">
        <is>
          <t>22 13 16</t>
        </is>
      </c>
      <c r="C15" s="8" t="inlineStr">
        <is>
          <t>Sanitary &amp; vent</t>
        </is>
      </c>
      <c r="D15" s="11" t="inlineStr">
        <is>
          <t>PVC DWV 4" building drain below slab (incl. exit leg)</t>
        </is>
      </c>
      <c r="E15" s="22">
        <f>main_x2-main_x1+exit_len</f>
        <v>33.0</v>
      </c>
      <c r="F15" s="8" t="inlineStr">
        <is>
          <t>LF</t>
        </is>
      </c>
      <c r="G15" s="13" t="n">
        <v>0.05</v>
      </c>
      <c r="H15" s="23">
        <f>E15*(1+G15)</f>
        <v>34.65</v>
      </c>
      <c r="I15" s="24" t="inlineStr">
        <is>
          <t>main_x2-main_x1+exit_len</t>
        </is>
      </c>
      <c r="J15" s="25" t="inlineStr"/>
    </row>
    <row r="16">
      <c r="A16" s="8" t="n">
        <v>11</v>
      </c>
      <c r="B16" s="8" t="inlineStr">
        <is>
          <t>22 13 16</t>
        </is>
      </c>
      <c r="C16" s="8" t="inlineStr">
        <is>
          <t>Sanitary &amp; vent</t>
        </is>
      </c>
      <c r="D16" s="11" t="inlineStr">
        <is>
          <t>PVC DWV 3" waste branches below slab</t>
        </is>
      </c>
      <c r="E16" s="22">
        <f>SUMIF('Fixture Schedule'!$I$6:$I$15,"3 in",'Fixture Schedule'!$J$6:$J$15)</f>
        <v>20.0</v>
      </c>
      <c r="F16" s="8" t="inlineStr">
        <is>
          <t>LF</t>
        </is>
      </c>
      <c r="G16" s="13" t="n">
        <v>0.05</v>
      </c>
      <c r="H16" s="23">
        <f>E16*(1+G16)</f>
        <v>21.0</v>
      </c>
      <c r="I16" s="24" t="inlineStr">
        <is>
          <t>Σ[Fixture Schedule: Waste branch LF (below slab) where Waste size = "3 in"]</t>
        </is>
      </c>
      <c r="J16" s="25" t="inlineStr"/>
    </row>
    <row r="17">
      <c r="A17" s="8" t="n">
        <v>12</v>
      </c>
      <c r="B17" s="8" t="inlineStr">
        <is>
          <t>22 13 16</t>
        </is>
      </c>
      <c r="C17" s="8" t="inlineStr">
        <is>
          <t>Sanitary &amp; vent</t>
        </is>
      </c>
      <c r="D17" s="11" t="inlineStr">
        <is>
          <t>PVC DWV 2" waste branches below slab</t>
        </is>
      </c>
      <c r="E17" s="22">
        <f>SUMIF('Fixture Schedule'!$I$6:$I$15,"2 in",'Fixture Schedule'!$J$6:$J$15)</f>
        <v>15.5</v>
      </c>
      <c r="F17" s="8" t="inlineStr">
        <is>
          <t>LF</t>
        </is>
      </c>
      <c r="G17" s="13" t="n">
        <v>0.05</v>
      </c>
      <c r="H17" s="23">
        <f>E17*(1+G17)</f>
        <v>16.275000000000002</v>
      </c>
      <c r="I17" s="24" t="inlineStr">
        <is>
          <t>Σ[Fixture Schedule: Waste branch LF (below slab) where Waste size = "2 in"]</t>
        </is>
      </c>
      <c r="J17" s="25" t="inlineStr"/>
    </row>
    <row r="18">
      <c r="A18" s="8" t="n">
        <v>13</v>
      </c>
      <c r="B18" s="8" t="inlineStr">
        <is>
          <t>22 13 16</t>
        </is>
      </c>
      <c r="C18" s="8" t="inlineStr">
        <is>
          <t>Sanitary &amp; vent</t>
        </is>
      </c>
      <c r="D18" s="11" t="inlineStr">
        <is>
          <t>PVC DWV 1-1/2" waste branches below slab</t>
        </is>
      </c>
      <c r="E18" s="22">
        <f>SUMIF('Fixture Schedule'!$I$6:$I$15,"1-1/2 in",'Fixture Schedule'!$J$6:$J$15)</f>
        <v>18.5</v>
      </c>
      <c r="F18" s="8" t="inlineStr">
        <is>
          <t>LF</t>
        </is>
      </c>
      <c r="G18" s="13" t="n">
        <v>0.05</v>
      </c>
      <c r="H18" s="23">
        <f>E18*(1+G18)</f>
        <v>19.425</v>
      </c>
      <c r="I18" s="24" t="inlineStr">
        <is>
          <t>Σ[Fixture Schedule: Waste branch LF (below slab) where Waste size = "1-1/2 in"]</t>
        </is>
      </c>
      <c r="J18" s="25" t="inlineStr"/>
    </row>
    <row r="19">
      <c r="A19" s="8" t="n">
        <v>14</v>
      </c>
      <c r="B19" s="8" t="inlineStr">
        <is>
          <t>22 13 16</t>
        </is>
      </c>
      <c r="C19" s="8" t="inlineStr">
        <is>
          <t>Sanitary &amp; vent</t>
        </is>
      </c>
      <c r="D19" s="11" t="inlineStr">
        <is>
          <t>PVC DWV 2" individual vents</t>
        </is>
      </c>
      <c r="E19" s="22">
        <f>SUMIF('Fixture Schedule'!$K$6:$K$15,"2 in",'Fixture Schedule'!$L$6:$L$15)</f>
        <v>16.0</v>
      </c>
      <c r="F19" s="8" t="inlineStr">
        <is>
          <t>LF</t>
        </is>
      </c>
      <c r="G19" s="13" t="n">
        <v>0.05</v>
      </c>
      <c r="H19" s="23">
        <f>E19*(1+G19)</f>
        <v>16.8</v>
      </c>
      <c r="I19" s="24" t="inlineStr">
        <is>
          <t>Σ[Fixture Schedule: Vent LF where Vent size = "2 in"]</t>
        </is>
      </c>
      <c r="J19" s="25" t="inlineStr"/>
    </row>
    <row r="20">
      <c r="A20" s="8" t="n">
        <v>15</v>
      </c>
      <c r="B20" s="8" t="inlineStr">
        <is>
          <t>22 13 16</t>
        </is>
      </c>
      <c r="C20" s="8" t="inlineStr">
        <is>
          <t>Sanitary &amp; vent</t>
        </is>
      </c>
      <c r="D20" s="11" t="inlineStr">
        <is>
          <t>PVC DWV 1-1/2" individual vents</t>
        </is>
      </c>
      <c r="E20" s="22">
        <f>SUMIF('Fixture Schedule'!$K$6:$K$15,"1-1/2 in",'Fixture Schedule'!$L$6:$L$15)</f>
        <v>94.0</v>
      </c>
      <c r="F20" s="8" t="inlineStr">
        <is>
          <t>LF</t>
        </is>
      </c>
      <c r="G20" s="13" t="n">
        <v>0.05</v>
      </c>
      <c r="H20" s="23">
        <f>E20*(1+G20)</f>
        <v>98.7</v>
      </c>
      <c r="I20" s="24" t="inlineStr">
        <is>
          <t>Σ[Fixture Schedule: Vent LF where Vent size = "1-1/2 in"]</t>
        </is>
      </c>
      <c r="J20" s="25" t="inlineStr"/>
    </row>
    <row r="21">
      <c r="A21" s="8" t="n">
        <v>16</v>
      </c>
      <c r="B21" s="8" t="inlineStr">
        <is>
          <t>22 13 16</t>
        </is>
      </c>
      <c r="C21" s="8" t="inlineStr">
        <is>
          <t>Sanitary &amp; vent</t>
        </is>
      </c>
      <c r="D21" s="11" t="inlineStr">
        <is>
          <t>PVC DWV 2" vent header above ceiling</t>
        </is>
      </c>
      <c r="E21" s="22">
        <f>main_x2-main_x1</f>
        <v>24.0</v>
      </c>
      <c r="F21" s="8" t="inlineStr">
        <is>
          <t>LF</t>
        </is>
      </c>
      <c r="G21" s="13" t="n">
        <v>0.05</v>
      </c>
      <c r="H21" s="23">
        <f>E21*(1+G21)</f>
        <v>25.200000000000003</v>
      </c>
      <c r="I21" s="24" t="inlineStr">
        <is>
          <t>main_x2-main_x1</t>
        </is>
      </c>
      <c r="J21" s="25" t="inlineStr"/>
    </row>
    <row r="22">
      <c r="A22" s="8" t="n">
        <v>17</v>
      </c>
      <c r="B22" s="8" t="inlineStr">
        <is>
          <t>22 13 16</t>
        </is>
      </c>
      <c r="C22" s="8" t="inlineStr">
        <is>
          <t>Sanitary &amp; vent</t>
        </is>
      </c>
      <c r="D22" s="11" t="inlineStr">
        <is>
          <t>PVC DWV 3" vent through roof w/ flashing</t>
        </is>
      </c>
      <c r="E22" s="22">
        <f>vtr_len</f>
        <v>7.0</v>
      </c>
      <c r="F22" s="8" t="inlineStr">
        <is>
          <t>LF</t>
        </is>
      </c>
      <c r="G22" s="13" t="n">
        <v>0.05</v>
      </c>
      <c r="H22" s="23">
        <f>E22*(1+G22)</f>
        <v>7.3500000000000005</v>
      </c>
      <c r="I22" s="24" t="inlineStr">
        <is>
          <t>vtr_len</t>
        </is>
      </c>
      <c r="J22" s="25" t="inlineStr">
        <is>
          <t>Flashing counted below</t>
        </is>
      </c>
    </row>
    <row r="23">
      <c r="A23" s="8" t="n">
        <v>18</v>
      </c>
      <c r="B23" s="8" t="inlineStr">
        <is>
          <t>22 13 16</t>
        </is>
      </c>
      <c r="C23" s="8" t="inlineStr">
        <is>
          <t>Sanitary &amp; vent</t>
        </is>
      </c>
      <c r="D23" s="11" t="inlineStr">
        <is>
          <t>Roof flashing boot for VTR</t>
        </is>
      </c>
      <c r="E23" s="22">
        <f>1</f>
        <v>1.0</v>
      </c>
      <c r="F23" s="8" t="inlineStr">
        <is>
          <t>EA</t>
        </is>
      </c>
      <c r="G23" s="13" t="n">
        <v>0</v>
      </c>
      <c r="H23" s="23">
        <f>E23*(1+G23)</f>
        <v>1.0</v>
      </c>
      <c r="I23" s="24" t="inlineStr">
        <is>
          <t>1 (counted / stated)</t>
        </is>
      </c>
      <c r="J23" s="25" t="inlineStr"/>
    </row>
    <row r="24">
      <c r="A24" s="8" t="n">
        <v>19</v>
      </c>
      <c r="B24" s="8" t="inlineStr">
        <is>
          <t>22 13 16</t>
        </is>
      </c>
      <c r="C24" s="8" t="inlineStr">
        <is>
          <t>Sanitary &amp; vent</t>
        </is>
      </c>
      <c r="D24" s="11" t="inlineStr">
        <is>
          <t>Cleanouts (upstream end, base of stack, exit)</t>
        </is>
      </c>
      <c r="E24" s="22">
        <f>3</f>
        <v>3.0</v>
      </c>
      <c r="F24" s="8" t="inlineStr">
        <is>
          <t>EA</t>
        </is>
      </c>
      <c r="G24" s="13" t="n">
        <v>0</v>
      </c>
      <c r="H24" s="23">
        <f>E24*(1+G24)</f>
        <v>3.0</v>
      </c>
      <c r="I24" s="24" t="inlineStr">
        <is>
          <t>3 (counted / stated)</t>
        </is>
      </c>
      <c r="J24" s="25" t="inlineStr"/>
    </row>
    <row r="25">
      <c r="A25" s="8" t="n">
        <v>20</v>
      </c>
      <c r="B25" s="8" t="inlineStr">
        <is>
          <t>22 13 16</t>
        </is>
      </c>
      <c r="C25" s="8" t="inlineStr">
        <is>
          <t>Sanitary &amp; vent</t>
        </is>
      </c>
      <c r="D25" s="11" t="inlineStr">
        <is>
          <t>DWV fittings (1 per 6 LF of DWV pipe)</t>
        </is>
      </c>
      <c r="E25" s="22">
        <f>ROUNDUP((ug_4_w+ug_3_w+ug_2_w+ug_15_w+v_2_w+v_15_w+vh_2_w+vtr_3_w)/dwv_fit_lf,0)</f>
        <v>40.0</v>
      </c>
      <c r="F25" s="8" t="inlineStr">
        <is>
          <t>EA</t>
        </is>
      </c>
      <c r="G25" s="13" t="n">
        <v>0</v>
      </c>
      <c r="H25" s="23">
        <f>E25*(1+G25)</f>
        <v>40.0</v>
      </c>
      <c r="I25" s="24" t="inlineStr">
        <is>
          <t>ROUNDUP((ug_4_w+ug_3_w+ug_2_w+ug_15_w+v_2_w+v_15_w+vh_2_w+vtr_3_w)/dwv_fit_lf,0)</t>
        </is>
      </c>
      <c r="J25" s="25" t="inlineStr">
        <is>
          <t>Estimator factor; each fitting carries its joint labor</t>
        </is>
      </c>
    </row>
    <row r="26">
      <c r="A26" s="8" t="n">
        <v>21</v>
      </c>
      <c r="B26" s="8" t="inlineStr">
        <is>
          <t>22 05 29</t>
        </is>
      </c>
      <c r="C26" s="8" t="inlineStr">
        <is>
          <t>Sanitary &amp; vent</t>
        </is>
      </c>
      <c r="D26" s="11" t="inlineStr">
        <is>
          <t>PVC vent hangers (1 per 4 LF above ground)</t>
        </is>
      </c>
      <c r="E26" s="22">
        <f>ROUNDUP((v_2_w+v_15_w+vh_2_w)/pvc_hgr_lf,0)</f>
        <v>36.0</v>
      </c>
      <c r="F26" s="8" t="inlineStr">
        <is>
          <t>EA</t>
        </is>
      </c>
      <c r="G26" s="13" t="n">
        <v>0</v>
      </c>
      <c r="H26" s="23">
        <f>E26*(1+G26)</f>
        <v>36.0</v>
      </c>
      <c r="I26" s="24" t="inlineStr">
        <is>
          <t>ROUNDUP((v_2_w+v_15_w+vh_2_w)/pvc_hgr_lf,0)</t>
        </is>
      </c>
      <c r="J26" s="25" t="inlineStr"/>
    </row>
    <row r="27">
      <c r="A27" s="8" t="n">
        <v>22</v>
      </c>
      <c r="B27" s="8" t="inlineStr">
        <is>
          <t>31 23 16</t>
        </is>
      </c>
      <c r="C27" s="8" t="inlineStr">
        <is>
          <t>Sanitary &amp; vent</t>
        </is>
      </c>
      <c r="D27" s="11" t="inlineStr">
        <is>
          <t>Trench &amp; backfill for below-slab piping</t>
        </is>
      </c>
      <c r="E27" s="22">
        <f>ug_4+ug_3+ug_2+ug_15</f>
        <v>87.0</v>
      </c>
      <c r="F27" s="8" t="inlineStr">
        <is>
          <t>LF</t>
        </is>
      </c>
      <c r="G27" s="13" t="n">
        <v>0</v>
      </c>
      <c r="H27" s="23">
        <f>E27*(1+G27)</f>
        <v>87.0</v>
      </c>
      <c r="I27" s="24" t="inlineStr">
        <is>
          <t>ug_4+ug_3+ug_2+ug_15</t>
        </is>
      </c>
      <c r="J27" s="25" t="inlineStr">
        <is>
          <t>Mini-excavator; bedding sand in material</t>
        </is>
      </c>
    </row>
    <row r="28">
      <c r="A28" s="8" t="n">
        <v>23</v>
      </c>
      <c r="B28" s="8" t="inlineStr">
        <is>
          <t>22 11 16</t>
        </is>
      </c>
      <c r="C28" s="8" t="inlineStr">
        <is>
          <t>Domestic water</t>
        </is>
      </c>
      <c r="D28" s="11" t="inlineStr">
        <is>
          <t>Copper Type L 1" CW main (riser + run)</t>
        </is>
      </c>
      <c r="E28" s="22">
        <f>wtr_rise+ABS(wtr_y-cw_entry_y)+cw_end_x-cw_entry_x</f>
        <v>52.0</v>
      </c>
      <c r="F28" s="8" t="inlineStr">
        <is>
          <t>LF</t>
        </is>
      </c>
      <c r="G28" s="13" t="n">
        <v>0.05</v>
      </c>
      <c r="H28" s="23">
        <f>E28*(1+G28)</f>
        <v>54.6</v>
      </c>
      <c r="I28" s="24" t="inlineStr">
        <is>
          <t>wtr_rise+ABS(wtr_y-cw_entry_y)+cw_end_x-cw_entry_x</t>
        </is>
      </c>
      <c r="J28" s="25" t="inlineStr"/>
    </row>
    <row r="29">
      <c r="A29" s="8" t="n">
        <v>24</v>
      </c>
      <c r="B29" s="8" t="inlineStr">
        <is>
          <t>22 11 16</t>
        </is>
      </c>
      <c r="C29" s="8" t="inlineStr">
        <is>
          <t>Domestic water</t>
        </is>
      </c>
      <c r="D29" s="11" t="inlineStr">
        <is>
          <t>Copper Type L 3/4" HW main from WH-1</t>
        </is>
      </c>
      <c r="E29" s="22">
        <f>wh_rise+hw_end_x-wh_x</f>
        <v>25.0</v>
      </c>
      <c r="F29" s="8" t="inlineStr">
        <is>
          <t>LF</t>
        </is>
      </c>
      <c r="G29" s="13" t="n">
        <v>0.05</v>
      </c>
      <c r="H29" s="23">
        <f>E29*(1+G29)</f>
        <v>26.25</v>
      </c>
      <c r="I29" s="24" t="inlineStr">
        <is>
          <t>wh_rise+hw_end_x-wh_x</t>
        </is>
      </c>
      <c r="J29" s="25" t="inlineStr"/>
    </row>
    <row r="30">
      <c r="A30" s="8" t="n">
        <v>25</v>
      </c>
      <c r="B30" s="8" t="inlineStr">
        <is>
          <t>22 11 16</t>
        </is>
      </c>
      <c r="C30" s="8" t="inlineStr">
        <is>
          <t>Domestic water</t>
        </is>
      </c>
      <c r="D30" s="11" t="inlineStr">
        <is>
          <t>Copper Type L 3/4" CW branches + WH connections</t>
        </is>
      </c>
      <c r="E30" s="22">
        <f>SUMIF('Fixture Schedule'!$M$6:$M$15,"3/4 in",'Fixture Schedule'!$O$6:$O$15)+SUMIF('Fixture Schedule'!$P$6:$P$15,"3/4 in",'Fixture Schedule'!$R$6:$R$15)+wh_conn</f>
        <v>29.0</v>
      </c>
      <c r="F30" s="8" t="inlineStr">
        <is>
          <t>LF</t>
        </is>
      </c>
      <c r="G30" s="13" t="n">
        <v>0.05</v>
      </c>
      <c r="H30" s="23">
        <f>E30*(1+G30)</f>
        <v>30.450000000000003</v>
      </c>
      <c r="I30" s="24" t="inlineStr">
        <is>
          <t>Σ[Fixture Schedule: CW branch LF where CW size = "3/4 in"]+Σ[Fixture Schedule: HW branch LF where HW size = "3/4 in"]+wh_conn</t>
        </is>
      </c>
      <c r="J30" s="25" t="inlineStr"/>
    </row>
    <row r="31">
      <c r="A31" s="8" t="n">
        <v>26</v>
      </c>
      <c r="B31" s="8" t="inlineStr">
        <is>
          <t>22 11 16</t>
        </is>
      </c>
      <c r="C31" s="8" t="inlineStr">
        <is>
          <t>Domestic water</t>
        </is>
      </c>
      <c r="D31" s="11" t="inlineStr">
        <is>
          <t>Copper Type L 1/2" CW + HW branches</t>
        </is>
      </c>
      <c r="E31" s="22">
        <f>SUMIF('Fixture Schedule'!$M$6:$M$15,"1/2 in",'Fixture Schedule'!$O$6:$O$15)+SUMIF('Fixture Schedule'!$P$6:$P$15,"1/2 in",'Fixture Schedule'!$R$6:$R$15)</f>
        <v>159.5</v>
      </c>
      <c r="F31" s="8" t="inlineStr">
        <is>
          <t>LF</t>
        </is>
      </c>
      <c r="G31" s="13" t="n">
        <v>0.05</v>
      </c>
      <c r="H31" s="23">
        <f>E31*(1+G31)</f>
        <v>167.475</v>
      </c>
      <c r="I31" s="24" t="inlineStr">
        <is>
          <t>Σ[Fixture Schedule: CW branch LF where CW size = "1/2 in"]+Σ[Fixture Schedule: HW branch LF where HW size = "1/2 in"]</t>
        </is>
      </c>
      <c r="J31" s="25" t="inlineStr"/>
    </row>
    <row r="32">
      <c r="A32" s="8" t="n">
        <v>27</v>
      </c>
      <c r="B32" s="8" t="inlineStr">
        <is>
          <t>22 11 16</t>
        </is>
      </c>
      <c r="C32" s="8" t="inlineStr">
        <is>
          <t>Domestic water</t>
        </is>
      </c>
      <c r="D32" s="11" t="inlineStr">
        <is>
          <t>Copper fittings (1 per 5 LF)</t>
        </is>
      </c>
      <c r="E32" s="22">
        <f>ROUNDUP((cw_1_w+hw_34_w+cu_34_w+cu_12_w)/cu_fit_lf,0)</f>
        <v>56.0</v>
      </c>
      <c r="F32" s="8" t="inlineStr">
        <is>
          <t>EA</t>
        </is>
      </c>
      <c r="G32" s="13" t="n">
        <v>0</v>
      </c>
      <c r="H32" s="23">
        <f>E32*(1+G32)</f>
        <v>56.0</v>
      </c>
      <c r="I32" s="24" t="inlineStr">
        <is>
          <t>ROUNDUP((cw_1_w+hw_34_w+cu_34_w+cu_12_w)/cu_fit_lf,0)</t>
        </is>
      </c>
      <c r="J32" s="25" t="inlineStr"/>
    </row>
    <row r="33">
      <c r="A33" s="8" t="n">
        <v>28</v>
      </c>
      <c r="B33" s="8" t="inlineStr">
        <is>
          <t>22 05 29</t>
        </is>
      </c>
      <c r="C33" s="8" t="inlineStr">
        <is>
          <t>Domestic water</t>
        </is>
      </c>
      <c r="D33" s="11" t="inlineStr">
        <is>
          <t>Copper hangers (1 per 6 LF)</t>
        </is>
      </c>
      <c r="E33" s="22">
        <f>ROUNDUP((cw_1_w+hw_34_w+cu_34_w+cu_12_w)/cu_hgr_lf,0)</f>
        <v>47.0</v>
      </c>
      <c r="F33" s="8" t="inlineStr">
        <is>
          <t>EA</t>
        </is>
      </c>
      <c r="G33" s="13" t="n">
        <v>0</v>
      </c>
      <c r="H33" s="23">
        <f>E33*(1+G33)</f>
        <v>47.0</v>
      </c>
      <c r="I33" s="24" t="inlineStr">
        <is>
          <t>ROUNDUP((cw_1_w+hw_34_w+cu_34_w+cu_12_w)/cu_hgr_lf,0)</t>
        </is>
      </c>
      <c r="J33" s="25" t="inlineStr"/>
    </row>
    <row r="34">
      <c r="A34" s="8" t="n">
        <v>29</v>
      </c>
      <c r="B34" s="8" t="inlineStr">
        <is>
          <t>22 05 23</t>
        </is>
      </c>
      <c r="C34" s="8" t="inlineStr">
        <is>
          <t>Domestic water</t>
        </is>
      </c>
      <c r="D34" s="11" t="inlineStr">
        <is>
          <t>Ball valves (CW main, HW main, WH inlet)</t>
        </is>
      </c>
      <c r="E34" s="22">
        <f>3</f>
        <v>3.0</v>
      </c>
      <c r="F34" s="8" t="inlineStr">
        <is>
          <t>EA</t>
        </is>
      </c>
      <c r="G34" s="13" t="n">
        <v>0</v>
      </c>
      <c r="H34" s="23">
        <f>E34*(1+G34)</f>
        <v>3.0</v>
      </c>
      <c r="I34" s="24" t="inlineStr">
        <is>
          <t>3 (counted / stated)</t>
        </is>
      </c>
      <c r="J34" s="25" t="inlineStr"/>
    </row>
    <row r="35">
      <c r="A35" s="8" t="n">
        <v>30</v>
      </c>
      <c r="B35" s="8" t="inlineStr">
        <is>
          <t>22 05 23</t>
        </is>
      </c>
      <c r="C35" s="8" t="inlineStr">
        <is>
          <t>Domestic water</t>
        </is>
      </c>
      <c r="D35" s="11" t="inlineStr">
        <is>
          <t>Angle / fixture stops (1 per water connection)</t>
        </is>
      </c>
      <c r="E35" s="22">
        <f>SUM('Fixture Schedule'!$N$6:$N$15)+SUM('Fixture Schedule'!$Q$6:$Q$15)</f>
        <v>12.0</v>
      </c>
      <c r="F35" s="8" t="inlineStr">
        <is>
          <t>EA</t>
        </is>
      </c>
      <c r="G35" s="13" t="n">
        <v>0</v>
      </c>
      <c r="H35" s="23">
        <f>E35*(1+G35)</f>
        <v>12.0</v>
      </c>
      <c r="I35" s="24" t="inlineStr">
        <is>
          <t>Σ[Fixture Schedule: CW conn.]+Σ[Fixture Schedule: HW conn.]</t>
        </is>
      </c>
      <c r="J35" s="25" t="inlineStr"/>
    </row>
    <row r="36">
      <c r="A36" s="8" t="n">
        <v>31</v>
      </c>
      <c r="B36" s="8" t="inlineStr">
        <is>
          <t>22 07 19</t>
        </is>
      </c>
      <c r="C36" s="8" t="inlineStr">
        <is>
          <t>Domestic water</t>
        </is>
      </c>
      <c r="D36" s="11" t="inlineStr">
        <is>
          <t>Pipe insulation 1/2" fiberglass on HW piping</t>
        </is>
      </c>
      <c r="E36" s="22">
        <f>hw_34+SUMIF('Fixture Schedule'!$P$6:$P$15,"1/2 in",'Fixture Schedule'!$R$6:$R$15)</f>
        <v>83.5</v>
      </c>
      <c r="F36" s="8" t="inlineStr">
        <is>
          <t>LF</t>
        </is>
      </c>
      <c r="G36" s="13" t="n">
        <v>0.05</v>
      </c>
      <c r="H36" s="23">
        <f>E36*(1+G36)</f>
        <v>87.675</v>
      </c>
      <c r="I36" s="24" t="inlineStr">
        <is>
          <t>hw_34+Σ[Fixture Schedule: HW branch LF where HW size = "1/2 in"]</t>
        </is>
      </c>
      <c r="J36" s="25" t="inlineStr"/>
    </row>
    <row r="37">
      <c r="A37" s="8" t="n">
        <v>32</v>
      </c>
      <c r="B37" s="8" t="inlineStr">
        <is>
          <t>22 08 00</t>
        </is>
      </c>
      <c r="C37" s="8" t="inlineStr">
        <is>
          <t>Testing</t>
        </is>
      </c>
      <c r="D37" s="11" t="inlineStr">
        <is>
          <t>DWV and water pressure tests, disinfection</t>
        </is>
      </c>
      <c r="E37" s="22">
        <f>1</f>
        <v>1.0</v>
      </c>
      <c r="F37" s="8" t="inlineStr">
        <is>
          <t>LS</t>
        </is>
      </c>
      <c r="G37" s="13" t="n">
        <v>0</v>
      </c>
      <c r="H37" s="23">
        <f>E37*(1+G37)</f>
        <v>1.0</v>
      </c>
      <c r="I37" s="24" t="inlineStr">
        <is>
          <t>1 (counted / stated)</t>
        </is>
      </c>
      <c r="J37" s="25" t="inlineStr"/>
    </row>
  </sheetData>
  <autoFilter ref="A5:J37"/>
  <mergeCells count="1">
    <mergeCell ref="A3:J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37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8" customWidth="1" min="2" max="2"/>
    <col width="40" customWidth="1" min="3" max="3"/>
    <col width="12" customWidth="1" min="4" max="4"/>
    <col width="7" customWidth="1" min="5" max="5"/>
    <col width="11" customWidth="1" min="6" max="6"/>
    <col width="13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2" customWidth="1" min="13" max="13"/>
    <col width="14" customWidth="1" min="14" max="14"/>
  </cols>
  <sheetData>
    <row r="1">
      <c r="A1" s="1" t="inlineStr">
        <is>
          <t>F&amp;K Estimatings</t>
        </is>
      </c>
    </row>
    <row r="2">
      <c r="A2" s="2" t="inlineStr">
        <is>
          <t>Plumbing Takeoff Sample — Pricing (illustrative unit costs)</t>
        </is>
      </c>
    </row>
    <row r="3" ht="36" customHeight="1">
      <c r="A3" s="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  <row r="4">
      <c r="A4" s="21" t="inlineStr">
        <is>
          <t>Unit costs and labor rates are illustrative, September 2026 national average; not a quote. Labor hr/unit = stated productivity. Rates are named assumptions.</t>
        </is>
      </c>
    </row>
    <row r="5" ht="26" customHeight="1">
      <c r="A5" s="7" t="inlineStr">
        <is>
          <t>Item</t>
        </is>
      </c>
      <c r="B5" s="7" t="inlineStr">
        <is>
          <t>Group</t>
        </is>
      </c>
      <c r="C5" s="7" t="inlineStr">
        <is>
          <t>Description</t>
        </is>
      </c>
      <c r="D5" s="7" t="inlineStr">
        <is>
          <t>Qty incl. waste</t>
        </is>
      </c>
      <c r="E5" s="7" t="inlineStr">
        <is>
          <t>Unit</t>
        </is>
      </c>
      <c r="F5" s="7" t="inlineStr">
        <is>
          <t>Material $/unit</t>
        </is>
      </c>
      <c r="G5" s="7" t="inlineStr">
        <is>
          <t>Material $</t>
        </is>
      </c>
      <c r="H5" s="7" t="inlineStr">
        <is>
          <t>Labor hr/unit</t>
        </is>
      </c>
      <c r="I5" s="7" t="inlineStr">
        <is>
          <t>Labor hrs</t>
        </is>
      </c>
      <c r="J5" s="7" t="inlineStr">
        <is>
          <t>Labor rate $/hr</t>
        </is>
      </c>
      <c r="K5" s="7" t="inlineStr">
        <is>
          <t>Labor $</t>
        </is>
      </c>
      <c r="L5" s="7" t="inlineStr">
        <is>
          <t>Equip $/unit</t>
        </is>
      </c>
      <c r="M5" s="7" t="inlineStr">
        <is>
          <t>Equip $</t>
        </is>
      </c>
      <c r="N5" s="7" t="inlineStr">
        <is>
          <t>Total $</t>
        </is>
      </c>
    </row>
    <row r="6">
      <c r="A6" s="8" t="n">
        <v>1</v>
      </c>
      <c r="B6" s="8" t="inlineStr">
        <is>
          <t>Fixtures &amp; equipment</t>
        </is>
      </c>
      <c r="C6" s="11" t="inlineStr">
        <is>
          <t>Water closet WC-1, ADA tank type, seat, supply</t>
        </is>
      </c>
      <c r="D6" s="26">
        <f>'Quantity Takeoff'!H6</f>
        <v>2.0</v>
      </c>
      <c r="E6" s="8" t="inlineStr">
        <is>
          <t>EA</t>
        </is>
      </c>
      <c r="F6" s="27" t="n">
        <v>420</v>
      </c>
      <c r="G6" s="28">
        <f>D6*F6</f>
        <v>840.0</v>
      </c>
      <c r="H6" s="29" t="n">
        <v>2.5</v>
      </c>
      <c r="I6" s="30">
        <f>D6*H6</f>
        <v>5.0</v>
      </c>
      <c r="J6" s="31">
        <f>rate_plumb</f>
        <v>84.0</v>
      </c>
      <c r="K6" s="28">
        <f>I6*J6</f>
        <v>420.0</v>
      </c>
      <c r="L6" s="27" t="n">
        <v>0</v>
      </c>
      <c r="M6" s="28">
        <f>D6*L6</f>
        <v>0.0</v>
      </c>
      <c r="N6" s="32">
        <f>G6+K6+M6</f>
        <v>1260.0</v>
      </c>
    </row>
    <row r="7">
      <c r="A7" s="8" t="n">
        <v>2</v>
      </c>
      <c r="B7" s="8" t="inlineStr">
        <is>
          <t>Fixtures &amp; equipment</t>
        </is>
      </c>
      <c r="C7" s="11" t="inlineStr">
        <is>
          <t>Urinal UR-1 w/ flush valve</t>
        </is>
      </c>
      <c r="D7" s="26">
        <f>'Quantity Takeoff'!H7</f>
        <v>1.0</v>
      </c>
      <c r="E7" s="8" t="inlineStr">
        <is>
          <t>EA</t>
        </is>
      </c>
      <c r="F7" s="27" t="n">
        <v>620</v>
      </c>
      <c r="G7" s="28">
        <f>D7*F7</f>
        <v>620.0</v>
      </c>
      <c r="H7" s="29" t="n">
        <v>3</v>
      </c>
      <c r="I7" s="30">
        <f>D7*H7</f>
        <v>3.0</v>
      </c>
      <c r="J7" s="31">
        <f>rate_plumb</f>
        <v>84.0</v>
      </c>
      <c r="K7" s="28">
        <f>I7*J7</f>
        <v>252.0</v>
      </c>
      <c r="L7" s="27" t="n">
        <v>0</v>
      </c>
      <c r="M7" s="28">
        <f>D7*L7</f>
        <v>0.0</v>
      </c>
      <c r="N7" s="32">
        <f>G7+K7+M7</f>
        <v>872.0</v>
      </c>
    </row>
    <row r="8">
      <c r="A8" s="8" t="n">
        <v>3</v>
      </c>
      <c r="B8" s="8" t="inlineStr">
        <is>
          <t>Fixtures &amp; equipment</t>
        </is>
      </c>
      <c r="C8" s="11" t="inlineStr">
        <is>
          <t>Lavatory LAV-1 wall-hung w/ carrier and faucet</t>
        </is>
      </c>
      <c r="D8" s="26">
        <f>'Quantity Takeoff'!H8</f>
        <v>2.0</v>
      </c>
      <c r="E8" s="8" t="inlineStr">
        <is>
          <t>EA</t>
        </is>
      </c>
      <c r="F8" s="27" t="n">
        <v>560</v>
      </c>
      <c r="G8" s="28">
        <f>D8*F8</f>
        <v>1120.0</v>
      </c>
      <c r="H8" s="29" t="n">
        <v>3</v>
      </c>
      <c r="I8" s="30">
        <f>D8*H8</f>
        <v>6.0</v>
      </c>
      <c r="J8" s="31">
        <f>rate_plumb</f>
        <v>84.0</v>
      </c>
      <c r="K8" s="28">
        <f>I8*J8</f>
        <v>504.0</v>
      </c>
      <c r="L8" s="27" t="n">
        <v>0</v>
      </c>
      <c r="M8" s="28">
        <f>D8*L8</f>
        <v>0.0</v>
      </c>
      <c r="N8" s="32">
        <f>G8+K8+M8</f>
        <v>1624.0</v>
      </c>
    </row>
    <row r="9">
      <c r="A9" s="8" t="n">
        <v>4</v>
      </c>
      <c r="B9" s="8" t="inlineStr">
        <is>
          <t>Fixtures &amp; equipment</t>
        </is>
      </c>
      <c r="C9" s="11" t="inlineStr">
        <is>
          <t>Sink SK-1 stainless single bowl w/ faucet</t>
        </is>
      </c>
      <c r="D9" s="26">
        <f>'Quantity Takeoff'!H9</f>
        <v>1.0</v>
      </c>
      <c r="E9" s="8" t="inlineStr">
        <is>
          <t>EA</t>
        </is>
      </c>
      <c r="F9" s="27" t="n">
        <v>520</v>
      </c>
      <c r="G9" s="28">
        <f>D9*F9</f>
        <v>520.0</v>
      </c>
      <c r="H9" s="29" t="n">
        <v>2.5</v>
      </c>
      <c r="I9" s="30">
        <f>D9*H9</f>
        <v>2.5</v>
      </c>
      <c r="J9" s="31">
        <f>rate_plumb</f>
        <v>84.0</v>
      </c>
      <c r="K9" s="28">
        <f>I9*J9</f>
        <v>210.0</v>
      </c>
      <c r="L9" s="27" t="n">
        <v>0</v>
      </c>
      <c r="M9" s="28">
        <f>D9*L9</f>
        <v>0.0</v>
      </c>
      <c r="N9" s="32">
        <f>G9+K9+M9</f>
        <v>730.0</v>
      </c>
    </row>
    <row r="10">
      <c r="A10" s="8" t="n">
        <v>5</v>
      </c>
      <c r="B10" s="8" t="inlineStr">
        <is>
          <t>Fixtures &amp; equipment</t>
        </is>
      </c>
      <c r="C10" s="11" t="inlineStr">
        <is>
          <t>Mop service basin MS-1 w/ faucet</t>
        </is>
      </c>
      <c r="D10" s="26">
        <f>'Quantity Takeoff'!H10</f>
        <v>1.0</v>
      </c>
      <c r="E10" s="8" t="inlineStr">
        <is>
          <t>EA</t>
        </is>
      </c>
      <c r="F10" s="27" t="n">
        <v>650</v>
      </c>
      <c r="G10" s="28">
        <f>D10*F10</f>
        <v>650.0</v>
      </c>
      <c r="H10" s="29" t="n">
        <v>3</v>
      </c>
      <c r="I10" s="30">
        <f>D10*H10</f>
        <v>3.0</v>
      </c>
      <c r="J10" s="31">
        <f>rate_plumb</f>
        <v>84.0</v>
      </c>
      <c r="K10" s="28">
        <f>I10*J10</f>
        <v>252.0</v>
      </c>
      <c r="L10" s="27" t="n">
        <v>0</v>
      </c>
      <c r="M10" s="28">
        <f>D10*L10</f>
        <v>0.0</v>
      </c>
      <c r="N10" s="32">
        <f>G10+K10+M10</f>
        <v>902.0</v>
      </c>
    </row>
    <row r="11">
      <c r="A11" s="8" t="n">
        <v>6</v>
      </c>
      <c r="B11" s="8" t="inlineStr">
        <is>
          <t>Fixtures &amp; equipment</t>
        </is>
      </c>
      <c r="C11" s="11" t="inlineStr">
        <is>
          <t>Electric water cooler EWC-1 bi-level</t>
        </is>
      </c>
      <c r="D11" s="26">
        <f>'Quantity Takeoff'!H11</f>
        <v>1.0</v>
      </c>
      <c r="E11" s="8" t="inlineStr">
        <is>
          <t>EA</t>
        </is>
      </c>
      <c r="F11" s="27" t="n">
        <v>1650</v>
      </c>
      <c r="G11" s="28">
        <f>D11*F11</f>
        <v>1650.0</v>
      </c>
      <c r="H11" s="29" t="n">
        <v>3.5</v>
      </c>
      <c r="I11" s="30">
        <f>D11*H11</f>
        <v>3.5</v>
      </c>
      <c r="J11" s="31">
        <f>rate_plumb</f>
        <v>84.0</v>
      </c>
      <c r="K11" s="28">
        <f>I11*J11</f>
        <v>294.0</v>
      </c>
      <c r="L11" s="27" t="n">
        <v>0</v>
      </c>
      <c r="M11" s="28">
        <f>D11*L11</f>
        <v>0.0</v>
      </c>
      <c r="N11" s="32">
        <f>G11+K11+M11</f>
        <v>1944.0</v>
      </c>
    </row>
    <row r="12">
      <c r="A12" s="8" t="n">
        <v>7</v>
      </c>
      <c r="B12" s="8" t="inlineStr">
        <is>
          <t>Fixtures &amp; equipment</t>
        </is>
      </c>
      <c r="C12" s="11" t="inlineStr">
        <is>
          <t>Floor drain FD-1 3"</t>
        </is>
      </c>
      <c r="D12" s="26">
        <f>'Quantity Takeoff'!H12</f>
        <v>2.0</v>
      </c>
      <c r="E12" s="8" t="inlineStr">
        <is>
          <t>EA</t>
        </is>
      </c>
      <c r="F12" s="27" t="n">
        <v>145</v>
      </c>
      <c r="G12" s="28">
        <f>D12*F12</f>
        <v>290.0</v>
      </c>
      <c r="H12" s="29" t="n">
        <v>1.5</v>
      </c>
      <c r="I12" s="30">
        <f>D12*H12</f>
        <v>3.0</v>
      </c>
      <c r="J12" s="31">
        <f>rate_plumb</f>
        <v>84.0</v>
      </c>
      <c r="K12" s="28">
        <f>I12*J12</f>
        <v>252.0</v>
      </c>
      <c r="L12" s="27" t="n">
        <v>0</v>
      </c>
      <c r="M12" s="28">
        <f>D12*L12</f>
        <v>0.0</v>
      </c>
      <c r="N12" s="32">
        <f>G12+K12+M12</f>
        <v>542.0</v>
      </c>
    </row>
    <row r="13">
      <c r="A13" s="8" t="n">
        <v>8</v>
      </c>
      <c r="B13" s="8" t="inlineStr">
        <is>
          <t>Fixtures &amp; equipment</t>
        </is>
      </c>
      <c r="C13" s="11" t="inlineStr">
        <is>
          <t>Water heater WH-1, 40 gal electric 4.5 kW, w/ expansion tank</t>
        </is>
      </c>
      <c r="D13" s="26">
        <f>'Quantity Takeoff'!H13</f>
        <v>1.0</v>
      </c>
      <c r="E13" s="8" t="inlineStr">
        <is>
          <t>EA</t>
        </is>
      </c>
      <c r="F13" s="27" t="n">
        <v>1045</v>
      </c>
      <c r="G13" s="28">
        <f>D13*F13</f>
        <v>1045.0</v>
      </c>
      <c r="H13" s="29" t="n">
        <v>4.5</v>
      </c>
      <c r="I13" s="30">
        <f>D13*H13</f>
        <v>4.5</v>
      </c>
      <c r="J13" s="31">
        <f>rate_plumb</f>
        <v>84.0</v>
      </c>
      <c r="K13" s="28">
        <f>I13*J13</f>
        <v>378.0</v>
      </c>
      <c r="L13" s="27" t="n">
        <v>0</v>
      </c>
      <c r="M13" s="28">
        <f>D13*L13</f>
        <v>0.0</v>
      </c>
      <c r="N13" s="32">
        <f>G13+K13+M13</f>
        <v>1423.0</v>
      </c>
    </row>
    <row r="14">
      <c r="A14" s="8" t="n">
        <v>10</v>
      </c>
      <c r="B14" s="8" t="inlineStr">
        <is>
          <t>Sanitary &amp; vent</t>
        </is>
      </c>
      <c r="C14" s="11" t="inlineStr">
        <is>
          <t>PVC DWV 4" building drain below slab (incl. exit leg)</t>
        </is>
      </c>
      <c r="D14" s="26">
        <f>'Quantity Takeoff'!H15</f>
        <v>34.65</v>
      </c>
      <c r="E14" s="8" t="inlineStr">
        <is>
          <t>LF</t>
        </is>
      </c>
      <c r="F14" s="27" t="n">
        <v>5.6</v>
      </c>
      <c r="G14" s="28">
        <f>D14*F14</f>
        <v>194.04</v>
      </c>
      <c r="H14" s="29" t="n">
        <v>0.1</v>
      </c>
      <c r="I14" s="30">
        <f>D14*H14</f>
        <v>3.465</v>
      </c>
      <c r="J14" s="31">
        <f>rate_plumb</f>
        <v>84.0</v>
      </c>
      <c r="K14" s="28">
        <f>I14*J14</f>
        <v>291.06</v>
      </c>
      <c r="L14" s="27" t="n">
        <v>0</v>
      </c>
      <c r="M14" s="28">
        <f>D14*L14</f>
        <v>0.0</v>
      </c>
      <c r="N14" s="32">
        <f>G14+K14+M14</f>
        <v>485.1</v>
      </c>
    </row>
    <row r="15">
      <c r="A15" s="8" t="n">
        <v>11</v>
      </c>
      <c r="B15" s="8" t="inlineStr">
        <is>
          <t>Sanitary &amp; vent</t>
        </is>
      </c>
      <c r="C15" s="11" t="inlineStr">
        <is>
          <t>PVC DWV 3" waste branches below slab</t>
        </is>
      </c>
      <c r="D15" s="26">
        <f>'Quantity Takeoff'!H16</f>
        <v>21.0</v>
      </c>
      <c r="E15" s="8" t="inlineStr">
        <is>
          <t>LF</t>
        </is>
      </c>
      <c r="F15" s="27" t="n">
        <v>3.9</v>
      </c>
      <c r="G15" s="28">
        <f>D15*F15</f>
        <v>81.89999999999999</v>
      </c>
      <c r="H15" s="29" t="n">
        <v>0.09</v>
      </c>
      <c r="I15" s="30">
        <f>D15*H15</f>
        <v>1.89</v>
      </c>
      <c r="J15" s="31">
        <f>rate_plumb</f>
        <v>84.0</v>
      </c>
      <c r="K15" s="28">
        <f>I15*J15</f>
        <v>158.76</v>
      </c>
      <c r="L15" s="27" t="n">
        <v>0</v>
      </c>
      <c r="M15" s="28">
        <f>D15*L15</f>
        <v>0.0</v>
      </c>
      <c r="N15" s="32">
        <f>G15+K15+M15</f>
        <v>240.65999999999997</v>
      </c>
    </row>
    <row r="16">
      <c r="A16" s="8" t="n">
        <v>12</v>
      </c>
      <c r="B16" s="8" t="inlineStr">
        <is>
          <t>Sanitary &amp; vent</t>
        </is>
      </c>
      <c r="C16" s="11" t="inlineStr">
        <is>
          <t>PVC DWV 2" waste branches below slab</t>
        </is>
      </c>
      <c r="D16" s="26">
        <f>'Quantity Takeoff'!H17</f>
        <v>16.275000000000002</v>
      </c>
      <c r="E16" s="8" t="inlineStr">
        <is>
          <t>LF</t>
        </is>
      </c>
      <c r="F16" s="27" t="n">
        <v>2.1</v>
      </c>
      <c r="G16" s="28">
        <f>D16*F16</f>
        <v>34.17750000000001</v>
      </c>
      <c r="H16" s="29" t="n">
        <v>0.07000000000000001</v>
      </c>
      <c r="I16" s="30">
        <f>D16*H16</f>
        <v>1.1392500000000003</v>
      </c>
      <c r="J16" s="31">
        <f>rate_plumb</f>
        <v>84.0</v>
      </c>
      <c r="K16" s="28">
        <f>I16*J16</f>
        <v>95.69700000000003</v>
      </c>
      <c r="L16" s="27" t="n">
        <v>0</v>
      </c>
      <c r="M16" s="28">
        <f>D16*L16</f>
        <v>0.0</v>
      </c>
      <c r="N16" s="32">
        <f>G16+K16+M16</f>
        <v>129.87450000000004</v>
      </c>
    </row>
    <row r="17">
      <c r="A17" s="8" t="n">
        <v>13</v>
      </c>
      <c r="B17" s="8" t="inlineStr">
        <is>
          <t>Sanitary &amp; vent</t>
        </is>
      </c>
      <c r="C17" s="11" t="inlineStr">
        <is>
          <t>PVC DWV 1-1/2" waste branches below slab</t>
        </is>
      </c>
      <c r="D17" s="26">
        <f>'Quantity Takeoff'!H18</f>
        <v>19.425</v>
      </c>
      <c r="E17" s="8" t="inlineStr">
        <is>
          <t>LF</t>
        </is>
      </c>
      <c r="F17" s="27" t="n">
        <v>1.6</v>
      </c>
      <c r="G17" s="28">
        <f>D17*F17</f>
        <v>31.080000000000002</v>
      </c>
      <c r="H17" s="29" t="n">
        <v>0.06</v>
      </c>
      <c r="I17" s="30">
        <f>D17*H17</f>
        <v>1.1655</v>
      </c>
      <c r="J17" s="31">
        <f>rate_plumb</f>
        <v>84.0</v>
      </c>
      <c r="K17" s="28">
        <f>I17*J17</f>
        <v>97.902</v>
      </c>
      <c r="L17" s="27" t="n">
        <v>0</v>
      </c>
      <c r="M17" s="28">
        <f>D17*L17</f>
        <v>0.0</v>
      </c>
      <c r="N17" s="32">
        <f>G17+K17+M17</f>
        <v>128.982</v>
      </c>
    </row>
    <row r="18">
      <c r="A18" s="8" t="n">
        <v>14</v>
      </c>
      <c r="B18" s="8" t="inlineStr">
        <is>
          <t>Sanitary &amp; vent</t>
        </is>
      </c>
      <c r="C18" s="11" t="inlineStr">
        <is>
          <t>PVC DWV 2" individual vents</t>
        </is>
      </c>
      <c r="D18" s="26">
        <f>'Quantity Takeoff'!H19</f>
        <v>16.8</v>
      </c>
      <c r="E18" s="8" t="inlineStr">
        <is>
          <t>LF</t>
        </is>
      </c>
      <c r="F18" s="27" t="n">
        <v>2.1</v>
      </c>
      <c r="G18" s="28">
        <f>D18*F18</f>
        <v>35.28</v>
      </c>
      <c r="H18" s="29" t="n">
        <v>0.08</v>
      </c>
      <c r="I18" s="30">
        <f>D18*H18</f>
        <v>1.344</v>
      </c>
      <c r="J18" s="31">
        <f>rate_plumb</f>
        <v>84.0</v>
      </c>
      <c r="K18" s="28">
        <f>I18*J18</f>
        <v>112.896</v>
      </c>
      <c r="L18" s="27" t="n">
        <v>0</v>
      </c>
      <c r="M18" s="28">
        <f>D18*L18</f>
        <v>0.0</v>
      </c>
      <c r="N18" s="32">
        <f>G18+K18+M18</f>
        <v>148.176</v>
      </c>
    </row>
    <row r="19">
      <c r="A19" s="8" t="n">
        <v>15</v>
      </c>
      <c r="B19" s="8" t="inlineStr">
        <is>
          <t>Sanitary &amp; vent</t>
        </is>
      </c>
      <c r="C19" s="11" t="inlineStr">
        <is>
          <t>PVC DWV 1-1/2" individual vents</t>
        </is>
      </c>
      <c r="D19" s="26">
        <f>'Quantity Takeoff'!H20</f>
        <v>98.7</v>
      </c>
      <c r="E19" s="8" t="inlineStr">
        <is>
          <t>LF</t>
        </is>
      </c>
      <c r="F19" s="27" t="n">
        <v>1.6</v>
      </c>
      <c r="G19" s="28">
        <f>D19*F19</f>
        <v>157.92000000000002</v>
      </c>
      <c r="H19" s="29" t="n">
        <v>0.07000000000000001</v>
      </c>
      <c r="I19" s="30">
        <f>D19*H19</f>
        <v>6.909000000000001</v>
      </c>
      <c r="J19" s="31">
        <f>rate_plumb</f>
        <v>84.0</v>
      </c>
      <c r="K19" s="28">
        <f>I19*J19</f>
        <v>580.3560000000001</v>
      </c>
      <c r="L19" s="27" t="n">
        <v>0</v>
      </c>
      <c r="M19" s="28">
        <f>D19*L19</f>
        <v>0.0</v>
      </c>
      <c r="N19" s="32">
        <f>G19+K19+M19</f>
        <v>738.2760000000001</v>
      </c>
    </row>
    <row r="20">
      <c r="A20" s="8" t="n">
        <v>16</v>
      </c>
      <c r="B20" s="8" t="inlineStr">
        <is>
          <t>Sanitary &amp; vent</t>
        </is>
      </c>
      <c r="C20" s="11" t="inlineStr">
        <is>
          <t>PVC DWV 2" vent header above ceiling</t>
        </is>
      </c>
      <c r="D20" s="26">
        <f>'Quantity Takeoff'!H21</f>
        <v>25.200000000000003</v>
      </c>
      <c r="E20" s="8" t="inlineStr">
        <is>
          <t>LF</t>
        </is>
      </c>
      <c r="F20" s="27" t="n">
        <v>2.1</v>
      </c>
      <c r="G20" s="28">
        <f>D20*F20</f>
        <v>52.92000000000001</v>
      </c>
      <c r="H20" s="29" t="n">
        <v>0.08</v>
      </c>
      <c r="I20" s="30">
        <f>D20*H20</f>
        <v>2.0160000000000005</v>
      </c>
      <c r="J20" s="31">
        <f>rate_plumb</f>
        <v>84.0</v>
      </c>
      <c r="K20" s="28">
        <f>I20*J20</f>
        <v>169.34400000000005</v>
      </c>
      <c r="L20" s="27" t="n">
        <v>0</v>
      </c>
      <c r="M20" s="28">
        <f>D20*L20</f>
        <v>0.0</v>
      </c>
      <c r="N20" s="32">
        <f>G20+K20+M20</f>
        <v>222.26400000000007</v>
      </c>
    </row>
    <row r="21">
      <c r="A21" s="8" t="n">
        <v>17</v>
      </c>
      <c r="B21" s="8" t="inlineStr">
        <is>
          <t>Sanitary &amp; vent</t>
        </is>
      </c>
      <c r="C21" s="11" t="inlineStr">
        <is>
          <t>PVC DWV 3" vent through roof w/ flashing</t>
        </is>
      </c>
      <c r="D21" s="26">
        <f>'Quantity Takeoff'!H22</f>
        <v>7.3500000000000005</v>
      </c>
      <c r="E21" s="8" t="inlineStr">
        <is>
          <t>LF</t>
        </is>
      </c>
      <c r="F21" s="27" t="n">
        <v>3.9</v>
      </c>
      <c r="G21" s="28">
        <f>D21*F21</f>
        <v>28.665000000000003</v>
      </c>
      <c r="H21" s="29" t="n">
        <v>0.15</v>
      </c>
      <c r="I21" s="30">
        <f>D21*H21</f>
        <v>1.1025</v>
      </c>
      <c r="J21" s="31">
        <f>rate_plumb</f>
        <v>84.0</v>
      </c>
      <c r="K21" s="28">
        <f>I21*J21</f>
        <v>92.61</v>
      </c>
      <c r="L21" s="27" t="n">
        <v>0</v>
      </c>
      <c r="M21" s="28">
        <f>D21*L21</f>
        <v>0.0</v>
      </c>
      <c r="N21" s="32">
        <f>G21+K21+M21</f>
        <v>121.275</v>
      </c>
    </row>
    <row r="22">
      <c r="A22" s="8" t="n">
        <v>18</v>
      </c>
      <c r="B22" s="8" t="inlineStr">
        <is>
          <t>Sanitary &amp; vent</t>
        </is>
      </c>
      <c r="C22" s="11" t="inlineStr">
        <is>
          <t>Roof flashing boot for VTR</t>
        </is>
      </c>
      <c r="D22" s="26">
        <f>'Quantity Takeoff'!H23</f>
        <v>1.0</v>
      </c>
      <c r="E22" s="8" t="inlineStr">
        <is>
          <t>EA</t>
        </is>
      </c>
      <c r="F22" s="27" t="n">
        <v>45</v>
      </c>
      <c r="G22" s="28">
        <f>D22*F22</f>
        <v>45.0</v>
      </c>
      <c r="H22" s="29" t="n">
        <v>1</v>
      </c>
      <c r="I22" s="30">
        <f>D22*H22</f>
        <v>1.0</v>
      </c>
      <c r="J22" s="31">
        <f>rate_plumb</f>
        <v>84.0</v>
      </c>
      <c r="K22" s="28">
        <f>I22*J22</f>
        <v>84.0</v>
      </c>
      <c r="L22" s="27" t="n">
        <v>0</v>
      </c>
      <c r="M22" s="28">
        <f>D22*L22</f>
        <v>0.0</v>
      </c>
      <c r="N22" s="32">
        <f>G22+K22+M22</f>
        <v>129.0</v>
      </c>
    </row>
    <row r="23">
      <c r="A23" s="8" t="n">
        <v>19</v>
      </c>
      <c r="B23" s="8" t="inlineStr">
        <is>
          <t>Sanitary &amp; vent</t>
        </is>
      </c>
      <c r="C23" s="11" t="inlineStr">
        <is>
          <t>Cleanouts (upstream end, base of stack, exit)</t>
        </is>
      </c>
      <c r="D23" s="26">
        <f>'Quantity Takeoff'!H24</f>
        <v>3.0</v>
      </c>
      <c r="E23" s="8" t="inlineStr">
        <is>
          <t>EA</t>
        </is>
      </c>
      <c r="F23" s="27" t="n">
        <v>85</v>
      </c>
      <c r="G23" s="28">
        <f>D23*F23</f>
        <v>255.0</v>
      </c>
      <c r="H23" s="29" t="n">
        <v>1</v>
      </c>
      <c r="I23" s="30">
        <f>D23*H23</f>
        <v>3.0</v>
      </c>
      <c r="J23" s="31">
        <f>rate_plumb</f>
        <v>84.0</v>
      </c>
      <c r="K23" s="28">
        <f>I23*J23</f>
        <v>252.0</v>
      </c>
      <c r="L23" s="27" t="n">
        <v>0</v>
      </c>
      <c r="M23" s="28">
        <f>D23*L23</f>
        <v>0.0</v>
      </c>
      <c r="N23" s="32">
        <f>G23+K23+M23</f>
        <v>507.0</v>
      </c>
    </row>
    <row r="24">
      <c r="A24" s="8" t="n">
        <v>20</v>
      </c>
      <c r="B24" s="8" t="inlineStr">
        <is>
          <t>Sanitary &amp; vent</t>
        </is>
      </c>
      <c r="C24" s="11" t="inlineStr">
        <is>
          <t>DWV fittings (1 per 6 LF of DWV pipe)</t>
        </is>
      </c>
      <c r="D24" s="26">
        <f>'Quantity Takeoff'!H25</f>
        <v>40.0</v>
      </c>
      <c r="E24" s="8" t="inlineStr">
        <is>
          <t>EA</t>
        </is>
      </c>
      <c r="F24" s="27" t="n">
        <v>6.5</v>
      </c>
      <c r="G24" s="28">
        <f>D24*F24</f>
        <v>260.0</v>
      </c>
      <c r="H24" s="29" t="n">
        <v>0.35</v>
      </c>
      <c r="I24" s="30">
        <f>D24*H24</f>
        <v>14.0</v>
      </c>
      <c r="J24" s="31">
        <f>rate_plumb</f>
        <v>84.0</v>
      </c>
      <c r="K24" s="28">
        <f>I24*J24</f>
        <v>1176.0</v>
      </c>
      <c r="L24" s="27" t="n">
        <v>0</v>
      </c>
      <c r="M24" s="28">
        <f>D24*L24</f>
        <v>0.0</v>
      </c>
      <c r="N24" s="32">
        <f>G24+K24+M24</f>
        <v>1436.0</v>
      </c>
    </row>
    <row r="25">
      <c r="A25" s="8" t="n">
        <v>21</v>
      </c>
      <c r="B25" s="8" t="inlineStr">
        <is>
          <t>Sanitary &amp; vent</t>
        </is>
      </c>
      <c r="C25" s="11" t="inlineStr">
        <is>
          <t>PVC vent hangers (1 per 4 LF above ground)</t>
        </is>
      </c>
      <c r="D25" s="26">
        <f>'Quantity Takeoff'!H26</f>
        <v>36.0</v>
      </c>
      <c r="E25" s="8" t="inlineStr">
        <is>
          <t>EA</t>
        </is>
      </c>
      <c r="F25" s="27" t="n">
        <v>3.2</v>
      </c>
      <c r="G25" s="28">
        <f>D25*F25</f>
        <v>115.2</v>
      </c>
      <c r="H25" s="29" t="n">
        <v>0.15</v>
      </c>
      <c r="I25" s="30">
        <f>D25*H25</f>
        <v>5.3999999999999995</v>
      </c>
      <c r="J25" s="31">
        <f>rate_plumb</f>
        <v>84.0</v>
      </c>
      <c r="K25" s="28">
        <f>I25*J25</f>
        <v>453.59999999999997</v>
      </c>
      <c r="L25" s="27" t="n">
        <v>0</v>
      </c>
      <c r="M25" s="28">
        <f>D25*L25</f>
        <v>0.0</v>
      </c>
      <c r="N25" s="32">
        <f>G25+K25+M25</f>
        <v>568.8</v>
      </c>
    </row>
    <row r="26">
      <c r="A26" s="8" t="n">
        <v>22</v>
      </c>
      <c r="B26" s="8" t="inlineStr">
        <is>
          <t>Sanitary &amp; vent</t>
        </is>
      </c>
      <c r="C26" s="11" t="inlineStr">
        <is>
          <t>Trench &amp; backfill for below-slab piping</t>
        </is>
      </c>
      <c r="D26" s="26">
        <f>'Quantity Takeoff'!H27</f>
        <v>87.0</v>
      </c>
      <c r="E26" s="8" t="inlineStr">
        <is>
          <t>LF</t>
        </is>
      </c>
      <c r="F26" s="27" t="n">
        <v>0.6</v>
      </c>
      <c r="G26" s="28">
        <f>D26*F26</f>
        <v>52.199999999999996</v>
      </c>
      <c r="H26" s="29" t="n">
        <v>0.12</v>
      </c>
      <c r="I26" s="30">
        <f>D26*H26</f>
        <v>10.44</v>
      </c>
      <c r="J26" s="31">
        <f>rate_plumb</f>
        <v>84.0</v>
      </c>
      <c r="K26" s="28">
        <f>I26*J26</f>
        <v>876.9599999999999</v>
      </c>
      <c r="L26" s="27" t="n">
        <v>1.5</v>
      </c>
      <c r="M26" s="28">
        <f>D26*L26</f>
        <v>130.5</v>
      </c>
      <c r="N26" s="32">
        <f>G26+K26+M26</f>
        <v>1059.6599999999999</v>
      </c>
    </row>
    <row r="27">
      <c r="A27" s="8" t="n">
        <v>23</v>
      </c>
      <c r="B27" s="8" t="inlineStr">
        <is>
          <t>Domestic water</t>
        </is>
      </c>
      <c r="C27" s="11" t="inlineStr">
        <is>
          <t>Copper Type L 1" CW main (riser + run)</t>
        </is>
      </c>
      <c r="D27" s="26">
        <f>'Quantity Takeoff'!H28</f>
        <v>54.6</v>
      </c>
      <c r="E27" s="8" t="inlineStr">
        <is>
          <t>LF</t>
        </is>
      </c>
      <c r="F27" s="27" t="n">
        <v>9.6</v>
      </c>
      <c r="G27" s="28">
        <f>D27*F27</f>
        <v>524.16</v>
      </c>
      <c r="H27" s="29" t="n">
        <v>0.07000000000000001</v>
      </c>
      <c r="I27" s="30">
        <f>D27*H27</f>
        <v>3.8220000000000005</v>
      </c>
      <c r="J27" s="31">
        <f>rate_plumb</f>
        <v>84.0</v>
      </c>
      <c r="K27" s="28">
        <f>I27*J27</f>
        <v>321.04800000000006</v>
      </c>
      <c r="L27" s="27" t="n">
        <v>0</v>
      </c>
      <c r="M27" s="28">
        <f>D27*L27</f>
        <v>0.0</v>
      </c>
      <c r="N27" s="32">
        <f>G27+K27+M27</f>
        <v>845.2080000000001</v>
      </c>
    </row>
    <row r="28">
      <c r="A28" s="8" t="n">
        <v>24</v>
      </c>
      <c r="B28" s="8" t="inlineStr">
        <is>
          <t>Domestic water</t>
        </is>
      </c>
      <c r="C28" s="11" t="inlineStr">
        <is>
          <t>Copper Type L 3/4" HW main from WH-1</t>
        </is>
      </c>
      <c r="D28" s="26">
        <f>'Quantity Takeoff'!H29</f>
        <v>26.25</v>
      </c>
      <c r="E28" s="8" t="inlineStr">
        <is>
          <t>LF</t>
        </is>
      </c>
      <c r="F28" s="27" t="n">
        <v>6.8</v>
      </c>
      <c r="G28" s="28">
        <f>D28*F28</f>
        <v>178.5</v>
      </c>
      <c r="H28" s="29" t="n">
        <v>0.06</v>
      </c>
      <c r="I28" s="30">
        <f>D28*H28</f>
        <v>1.575</v>
      </c>
      <c r="J28" s="31">
        <f>rate_plumb</f>
        <v>84.0</v>
      </c>
      <c r="K28" s="28">
        <f>I28*J28</f>
        <v>132.29999999999998</v>
      </c>
      <c r="L28" s="27" t="n">
        <v>0</v>
      </c>
      <c r="M28" s="28">
        <f>D28*L28</f>
        <v>0.0</v>
      </c>
      <c r="N28" s="32">
        <f>G28+K28+M28</f>
        <v>310.79999999999995</v>
      </c>
    </row>
    <row r="29">
      <c r="A29" s="8" t="n">
        <v>25</v>
      </c>
      <c r="B29" s="8" t="inlineStr">
        <is>
          <t>Domestic water</t>
        </is>
      </c>
      <c r="C29" s="11" t="inlineStr">
        <is>
          <t>Copper Type L 3/4" CW branches + WH connections</t>
        </is>
      </c>
      <c r="D29" s="26">
        <f>'Quantity Takeoff'!H30</f>
        <v>30.450000000000003</v>
      </c>
      <c r="E29" s="8" t="inlineStr">
        <is>
          <t>LF</t>
        </is>
      </c>
      <c r="F29" s="27" t="n">
        <v>6.8</v>
      </c>
      <c r="G29" s="28">
        <f>D29*F29</f>
        <v>207.06</v>
      </c>
      <c r="H29" s="29" t="n">
        <v>0.06</v>
      </c>
      <c r="I29" s="30">
        <f>D29*H29</f>
        <v>1.8270000000000002</v>
      </c>
      <c r="J29" s="31">
        <f>rate_plumb</f>
        <v>84.0</v>
      </c>
      <c r="K29" s="28">
        <f>I29*J29</f>
        <v>153.46800000000002</v>
      </c>
      <c r="L29" s="27" t="n">
        <v>0</v>
      </c>
      <c r="M29" s="28">
        <f>D29*L29</f>
        <v>0.0</v>
      </c>
      <c r="N29" s="32">
        <f>G29+K29+M29</f>
        <v>360.528</v>
      </c>
    </row>
    <row r="30">
      <c r="A30" s="8" t="n">
        <v>26</v>
      </c>
      <c r="B30" s="8" t="inlineStr">
        <is>
          <t>Domestic water</t>
        </is>
      </c>
      <c r="C30" s="11" t="inlineStr">
        <is>
          <t>Copper Type L 1/2" CW + HW branches</t>
        </is>
      </c>
      <c r="D30" s="26">
        <f>'Quantity Takeoff'!H31</f>
        <v>167.475</v>
      </c>
      <c r="E30" s="8" t="inlineStr">
        <is>
          <t>LF</t>
        </is>
      </c>
      <c r="F30" s="27" t="n">
        <v>4.2</v>
      </c>
      <c r="G30" s="28">
        <f>D30*F30</f>
        <v>703.395</v>
      </c>
      <c r="H30" s="29" t="n">
        <v>0.05</v>
      </c>
      <c r="I30" s="30">
        <f>D30*H30</f>
        <v>8.37375</v>
      </c>
      <c r="J30" s="31">
        <f>rate_plumb</f>
        <v>84.0</v>
      </c>
      <c r="K30" s="28">
        <f>I30*J30</f>
        <v>703.395</v>
      </c>
      <c r="L30" s="27" t="n">
        <v>0</v>
      </c>
      <c r="M30" s="28">
        <f>D30*L30</f>
        <v>0.0</v>
      </c>
      <c r="N30" s="32">
        <f>G30+K30+M30</f>
        <v>1406.79</v>
      </c>
    </row>
    <row r="31">
      <c r="A31" s="8" t="n">
        <v>27</v>
      </c>
      <c r="B31" s="8" t="inlineStr">
        <is>
          <t>Domestic water</t>
        </is>
      </c>
      <c r="C31" s="11" t="inlineStr">
        <is>
          <t>Copper fittings (1 per 5 LF)</t>
        </is>
      </c>
      <c r="D31" s="26">
        <f>'Quantity Takeoff'!H32</f>
        <v>56.0</v>
      </c>
      <c r="E31" s="8" t="inlineStr">
        <is>
          <t>EA</t>
        </is>
      </c>
      <c r="F31" s="27" t="n">
        <v>4.8</v>
      </c>
      <c r="G31" s="28">
        <f>D31*F31</f>
        <v>268.8</v>
      </c>
      <c r="H31" s="29" t="n">
        <v>0.3</v>
      </c>
      <c r="I31" s="30">
        <f>D31*H31</f>
        <v>16.8</v>
      </c>
      <c r="J31" s="31">
        <f>rate_plumb</f>
        <v>84.0</v>
      </c>
      <c r="K31" s="28">
        <f>I31*J31</f>
        <v>1411.2</v>
      </c>
      <c r="L31" s="27" t="n">
        <v>0</v>
      </c>
      <c r="M31" s="28">
        <f>D31*L31</f>
        <v>0.0</v>
      </c>
      <c r="N31" s="32">
        <f>G31+K31+M31</f>
        <v>1680.0</v>
      </c>
    </row>
    <row r="32">
      <c r="A32" s="8" t="n">
        <v>28</v>
      </c>
      <c r="B32" s="8" t="inlineStr">
        <is>
          <t>Domestic water</t>
        </is>
      </c>
      <c r="C32" s="11" t="inlineStr">
        <is>
          <t>Copper hangers (1 per 6 LF)</t>
        </is>
      </c>
      <c r="D32" s="26">
        <f>'Quantity Takeoff'!H33</f>
        <v>47.0</v>
      </c>
      <c r="E32" s="8" t="inlineStr">
        <is>
          <t>EA</t>
        </is>
      </c>
      <c r="F32" s="27" t="n">
        <v>3.2</v>
      </c>
      <c r="G32" s="28">
        <f>D32*F32</f>
        <v>150.4</v>
      </c>
      <c r="H32" s="29" t="n">
        <v>0.15</v>
      </c>
      <c r="I32" s="30">
        <f>D32*H32</f>
        <v>7.05</v>
      </c>
      <c r="J32" s="31">
        <f>rate_plumb</f>
        <v>84.0</v>
      </c>
      <c r="K32" s="28">
        <f>I32*J32</f>
        <v>592.1999999999999</v>
      </c>
      <c r="L32" s="27" t="n">
        <v>0</v>
      </c>
      <c r="M32" s="28">
        <f>D32*L32</f>
        <v>0.0</v>
      </c>
      <c r="N32" s="32">
        <f>G32+K32+M32</f>
        <v>742.5999999999999</v>
      </c>
    </row>
    <row r="33">
      <c r="A33" s="8" t="n">
        <v>29</v>
      </c>
      <c r="B33" s="8" t="inlineStr">
        <is>
          <t>Domestic water</t>
        </is>
      </c>
      <c r="C33" s="11" t="inlineStr">
        <is>
          <t>Ball valves (CW main, HW main, WH inlet)</t>
        </is>
      </c>
      <c r="D33" s="26">
        <f>'Quantity Takeoff'!H34</f>
        <v>3.0</v>
      </c>
      <c r="E33" s="8" t="inlineStr">
        <is>
          <t>EA</t>
        </is>
      </c>
      <c r="F33" s="27" t="n">
        <v>38</v>
      </c>
      <c r="G33" s="28">
        <f>D33*F33</f>
        <v>114.0</v>
      </c>
      <c r="H33" s="29" t="n">
        <v>0.4</v>
      </c>
      <c r="I33" s="30">
        <f>D33*H33</f>
        <v>1.2000000000000002</v>
      </c>
      <c r="J33" s="31">
        <f>rate_plumb</f>
        <v>84.0</v>
      </c>
      <c r="K33" s="28">
        <f>I33*J33</f>
        <v>100.80000000000001</v>
      </c>
      <c r="L33" s="27" t="n">
        <v>0</v>
      </c>
      <c r="M33" s="28">
        <f>D33*L33</f>
        <v>0.0</v>
      </c>
      <c r="N33" s="32">
        <f>G33+K33+M33</f>
        <v>214.8</v>
      </c>
    </row>
    <row r="34">
      <c r="A34" s="8" t="n">
        <v>30</v>
      </c>
      <c r="B34" s="8" t="inlineStr">
        <is>
          <t>Domestic water</t>
        </is>
      </c>
      <c r="C34" s="11" t="inlineStr">
        <is>
          <t>Angle / fixture stops (1 per water connection)</t>
        </is>
      </c>
      <c r="D34" s="26">
        <f>'Quantity Takeoff'!H35</f>
        <v>12.0</v>
      </c>
      <c r="E34" s="8" t="inlineStr">
        <is>
          <t>EA</t>
        </is>
      </c>
      <c r="F34" s="27" t="n">
        <v>14</v>
      </c>
      <c r="G34" s="28">
        <f>D34*F34</f>
        <v>168.0</v>
      </c>
      <c r="H34" s="29" t="n">
        <v>0.3</v>
      </c>
      <c r="I34" s="30">
        <f>D34*H34</f>
        <v>3.5999999999999996</v>
      </c>
      <c r="J34" s="31">
        <f>rate_plumb</f>
        <v>84.0</v>
      </c>
      <c r="K34" s="28">
        <f>I34*J34</f>
        <v>302.4</v>
      </c>
      <c r="L34" s="27" t="n">
        <v>0</v>
      </c>
      <c r="M34" s="28">
        <f>D34*L34</f>
        <v>0.0</v>
      </c>
      <c r="N34" s="32">
        <f>G34+K34+M34</f>
        <v>470.4</v>
      </c>
    </row>
    <row r="35">
      <c r="A35" s="8" t="n">
        <v>31</v>
      </c>
      <c r="B35" s="8" t="inlineStr">
        <is>
          <t>Domestic water</t>
        </is>
      </c>
      <c r="C35" s="11" t="inlineStr">
        <is>
          <t>Pipe insulation 1/2" fiberglass on HW piping</t>
        </is>
      </c>
      <c r="D35" s="26">
        <f>'Quantity Takeoff'!H36</f>
        <v>87.675</v>
      </c>
      <c r="E35" s="8" t="inlineStr">
        <is>
          <t>LF</t>
        </is>
      </c>
      <c r="F35" s="27" t="n">
        <v>2.1</v>
      </c>
      <c r="G35" s="28">
        <f>D35*F35</f>
        <v>184.1175</v>
      </c>
      <c r="H35" s="29" t="n">
        <v>0.04</v>
      </c>
      <c r="I35" s="30">
        <f>D35*H35</f>
        <v>3.507</v>
      </c>
      <c r="J35" s="31">
        <f>rate_plumb</f>
        <v>84.0</v>
      </c>
      <c r="K35" s="28">
        <f>I35*J35</f>
        <v>294.588</v>
      </c>
      <c r="L35" s="27" t="n">
        <v>0</v>
      </c>
      <c r="M35" s="28">
        <f>D35*L35</f>
        <v>0.0</v>
      </c>
      <c r="N35" s="32">
        <f>G35+K35+M35</f>
        <v>478.70550000000003</v>
      </c>
    </row>
    <row r="36">
      <c r="A36" s="8" t="n">
        <v>32</v>
      </c>
      <c r="B36" s="8" t="inlineStr">
        <is>
          <t>Testing</t>
        </is>
      </c>
      <c r="C36" s="11" t="inlineStr">
        <is>
          <t>DWV and water pressure tests, disinfection</t>
        </is>
      </c>
      <c r="D36" s="26">
        <f>'Quantity Takeoff'!H37</f>
        <v>1.0</v>
      </c>
      <c r="E36" s="8" t="inlineStr">
        <is>
          <t>LS</t>
        </is>
      </c>
      <c r="F36" s="27" t="n">
        <v>120</v>
      </c>
      <c r="G36" s="28">
        <f>D36*F36</f>
        <v>120.0</v>
      </c>
      <c r="H36" s="29" t="n">
        <v>12</v>
      </c>
      <c r="I36" s="30">
        <f>D36*H36</f>
        <v>12.0</v>
      </c>
      <c r="J36" s="31">
        <f>rate_plumb</f>
        <v>84.0</v>
      </c>
      <c r="K36" s="28">
        <f>I36*J36</f>
        <v>1008.0</v>
      </c>
      <c r="L36" s="27" t="n">
        <v>0</v>
      </c>
      <c r="M36" s="28">
        <f>D36*L36</f>
        <v>0.0</v>
      </c>
      <c r="N36" s="32">
        <f>G36+K36+M36</f>
        <v>1128.0</v>
      </c>
    </row>
    <row r="37">
      <c r="C37" s="18" t="inlineStr">
        <is>
          <t>Direct cost totals</t>
        </is>
      </c>
      <c r="G37" s="33">
        <f>SUM(G6:G36)</f>
        <v>10696.815</v>
      </c>
      <c r="I37" s="34">
        <f>SUM(I6:I36)</f>
        <v>143.126</v>
      </c>
      <c r="K37" s="33">
        <f>SUM(K6:K36)</f>
        <v>12022.584</v>
      </c>
      <c r="M37" s="33">
        <f>SUM(M6:M36)</f>
        <v>130.5</v>
      </c>
      <c r="N37" s="33">
        <f>SUM(N6:N36)</f>
        <v>22849.899</v>
      </c>
    </row>
  </sheetData>
  <mergeCells count="1">
    <mergeCell ref="A3:N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5" customWidth="1" min="3" max="3"/>
    <col width="11" customWidth="1" min="4" max="4"/>
    <col width="15" customWidth="1" min="5" max="5"/>
    <col width="14" customWidth="1" min="6" max="6"/>
    <col width="16" customWidth="1" min="7" max="7"/>
  </cols>
  <sheetData>
    <row r="1">
      <c r="A1" s="1" t="inlineStr">
        <is>
          <t>F&amp;K Estimatings</t>
        </is>
      </c>
    </row>
    <row r="2">
      <c r="A2" s="2" t="inlineStr">
        <is>
          <t>Plumbing Takeoff Sample — Summary</t>
        </is>
      </c>
    </row>
    <row r="3" ht="36" customHeight="1">
      <c r="A3" s="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  <row r="5" ht="26" customHeight="1">
      <c r="A5" s="7" t="inlineStr">
        <is>
          <t>Group</t>
        </is>
      </c>
      <c r="B5" s="7" t="inlineStr">
        <is>
          <t>Line items</t>
        </is>
      </c>
      <c r="C5" s="7" t="inlineStr">
        <is>
          <t>Material $</t>
        </is>
      </c>
      <c r="D5" s="7" t="inlineStr">
        <is>
          <t>Labor hrs</t>
        </is>
      </c>
      <c r="E5" s="7" t="inlineStr">
        <is>
          <t>Labor $</t>
        </is>
      </c>
      <c r="F5" s="7" t="inlineStr">
        <is>
          <t>Equipment $</t>
        </is>
      </c>
      <c r="G5" s="7" t="inlineStr">
        <is>
          <t>Total $</t>
        </is>
      </c>
    </row>
    <row r="6">
      <c r="A6" s="8" t="inlineStr">
        <is>
          <t>Fixtures &amp; equipment</t>
        </is>
      </c>
      <c r="B6" s="8">
        <f>COUNTIF(Pricing!$B$6:$B$36,A6)</f>
        <v>8.0</v>
      </c>
      <c r="C6" s="28">
        <f>SUMIF(Pricing!$B$6:$B$36,$A6,Pricing!$G$6:$G$36)</f>
        <v>6735.0</v>
      </c>
      <c r="D6" s="30">
        <f>SUMIF(Pricing!$B$6:$B$36,$A6,Pricing!$I$6:$I$36)</f>
        <v>30.5</v>
      </c>
      <c r="E6" s="28">
        <f>SUMIF(Pricing!$B$6:$B$36,$A6,Pricing!$K$6:$K$36)</f>
        <v>2562.0</v>
      </c>
      <c r="F6" s="28">
        <f>SUMIF(Pricing!$B$6:$B$36,$A6,Pricing!$M$6:$M$36)</f>
        <v>0.0</v>
      </c>
      <c r="G6" s="28">
        <f>SUMIF(Pricing!$B$6:$B$36,$A6,Pricing!$N$6:$N$36)</f>
        <v>9297.0</v>
      </c>
    </row>
    <row r="7">
      <c r="A7" s="8" t="inlineStr">
        <is>
          <t>Sanitary &amp; vent</t>
        </is>
      </c>
      <c r="B7" s="8">
        <f>COUNTIF(Pricing!$B$6:$B$36,A7)</f>
        <v>13.0</v>
      </c>
      <c r="C7" s="28">
        <f>SUMIF(Pricing!$B$6:$B$36,$A7,Pricing!$G$6:$G$36)</f>
        <v>1343.3825</v>
      </c>
      <c r="D7" s="30">
        <f>SUMIF(Pricing!$B$6:$B$36,$A7,Pricing!$I$6:$I$36)</f>
        <v>52.87125</v>
      </c>
      <c r="E7" s="28">
        <f>SUMIF(Pricing!$B$6:$B$36,$A7,Pricing!$K$6:$K$36)</f>
        <v>4441.185</v>
      </c>
      <c r="F7" s="28">
        <f>SUMIF(Pricing!$B$6:$B$36,$A7,Pricing!$M$6:$M$36)</f>
        <v>130.5</v>
      </c>
      <c r="G7" s="28">
        <f>SUMIF(Pricing!$B$6:$B$36,$A7,Pricing!$N$6:$N$36)</f>
        <v>5915.0675</v>
      </c>
    </row>
    <row r="8">
      <c r="A8" s="8" t="inlineStr">
        <is>
          <t>Domestic water</t>
        </is>
      </c>
      <c r="B8" s="8">
        <f>COUNTIF(Pricing!$B$6:$B$36,A8)</f>
        <v>9.0</v>
      </c>
      <c r="C8" s="28">
        <f>SUMIF(Pricing!$B$6:$B$36,$A8,Pricing!$G$6:$G$36)</f>
        <v>2498.4325</v>
      </c>
      <c r="D8" s="30">
        <f>SUMIF(Pricing!$B$6:$B$36,$A8,Pricing!$I$6:$I$36)</f>
        <v>47.75475</v>
      </c>
      <c r="E8" s="28">
        <f>SUMIF(Pricing!$B$6:$B$36,$A8,Pricing!$K$6:$K$36)</f>
        <v>4011.399</v>
      </c>
      <c r="F8" s="28">
        <f>SUMIF(Pricing!$B$6:$B$36,$A8,Pricing!$M$6:$M$36)</f>
        <v>0.0</v>
      </c>
      <c r="G8" s="28">
        <f>SUMIF(Pricing!$B$6:$B$36,$A8,Pricing!$N$6:$N$36)</f>
        <v>6509.8315</v>
      </c>
    </row>
    <row r="9">
      <c r="A9" s="8" t="inlineStr">
        <is>
          <t>Testing</t>
        </is>
      </c>
      <c r="B9" s="8">
        <f>COUNTIF(Pricing!$B$6:$B$36,A9)</f>
        <v>1.0</v>
      </c>
      <c r="C9" s="28">
        <f>SUMIF(Pricing!$B$6:$B$36,$A9,Pricing!$G$6:$G$36)</f>
        <v>120.0</v>
      </c>
      <c r="D9" s="30">
        <f>SUMIF(Pricing!$B$6:$B$36,$A9,Pricing!$I$6:$I$36)</f>
        <v>12.0</v>
      </c>
      <c r="E9" s="28">
        <f>SUMIF(Pricing!$B$6:$B$36,$A9,Pricing!$K$6:$K$36)</f>
        <v>1008.0</v>
      </c>
      <c r="F9" s="28">
        <f>SUMIF(Pricing!$B$6:$B$36,$A9,Pricing!$M$6:$M$36)</f>
        <v>0.0</v>
      </c>
      <c r="G9" s="28">
        <f>SUMIF(Pricing!$B$6:$B$36,$A9,Pricing!$N$6:$N$36)</f>
        <v>1128.0</v>
      </c>
    </row>
    <row r="10">
      <c r="A10" s="18" t="inlineStr">
        <is>
          <t>Direct cost subtotal</t>
        </is>
      </c>
      <c r="C10" s="33">
        <f>SUM(C6:C9)</f>
        <v>10696.815</v>
      </c>
      <c r="D10" s="34">
        <f>SUM(D6:D9)</f>
        <v>143.126</v>
      </c>
      <c r="E10" s="33">
        <f>SUM(E6:E9)</f>
        <v>12022.584</v>
      </c>
      <c r="F10" s="33">
        <f>SUM(F6:F9)</f>
        <v>130.5</v>
      </c>
      <c r="G10" s="33">
        <f>SUM(G6:G9)</f>
        <v>22849.899</v>
      </c>
    </row>
    <row r="11">
      <c r="A11" s="35" t="inlineStr">
        <is>
          <t>Markups (percentages are stated assumptions — see Cover &amp; Basis)</t>
        </is>
      </c>
    </row>
    <row r="12">
      <c r="A12" s="5" t="inlineStr">
        <is>
          <t>Sales tax on material (7.0% of material)</t>
        </is>
      </c>
      <c r="F12" s="36">
        <f>tax_rate</f>
        <v>0.07</v>
      </c>
      <c r="G12" s="37">
        <f>C10*F12</f>
        <v>748.7770500000001</v>
      </c>
    </row>
    <row r="13">
      <c r="A13" s="21" t="inlineStr">
        <is>
          <t>Running subtotal</t>
        </is>
      </c>
      <c r="G13" s="37">
        <f>G10+G12</f>
        <v>23598.676050000002</v>
      </c>
    </row>
    <row r="14">
      <c r="A14" s="5" t="inlineStr">
        <is>
          <t>Overhead (10.0% of running subtotal)</t>
        </is>
      </c>
      <c r="F14" s="36">
        <f>oh_pct</f>
        <v>0.1</v>
      </c>
      <c r="G14" s="37">
        <f>G13*F14</f>
        <v>2359.8676050000004</v>
      </c>
    </row>
    <row r="15">
      <c r="A15" s="21" t="inlineStr">
        <is>
          <t>Running subtotal</t>
        </is>
      </c>
      <c r="G15" s="37">
        <f>G13+G14</f>
        <v>25958.543655</v>
      </c>
    </row>
    <row r="16">
      <c r="A16" s="5" t="inlineStr">
        <is>
          <t>Profit (10.0% of running subtotal)</t>
        </is>
      </c>
      <c r="F16" s="36">
        <f>profit_pct</f>
        <v>0.1</v>
      </c>
      <c r="G16" s="37">
        <f>G15*F16</f>
        <v>2595.8543655000003</v>
      </c>
    </row>
    <row r="17">
      <c r="A17" s="21" t="inlineStr">
        <is>
          <t>Running subtotal</t>
        </is>
      </c>
      <c r="G17" s="37">
        <f>G15+G16</f>
        <v>28554.3980205</v>
      </c>
    </row>
    <row r="18">
      <c r="A18" s="18" t="inlineStr">
        <is>
          <t>SAMPLE TOTAL (illustrative)</t>
        </is>
      </c>
      <c r="G18" s="38">
        <f>G17</f>
        <v>28554.3980205</v>
      </c>
    </row>
    <row r="19">
      <c r="A19" s="5" t="inlineStr">
        <is>
          <t>Cost per SF</t>
        </is>
      </c>
      <c r="G19" s="37">
        <f>G18/gross_sf</f>
        <v>4.75906633675</v>
      </c>
    </row>
    <row r="21" ht="40" customHeight="1">
      <c r="A21" s="39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</sheetData>
  <mergeCells count="2">
    <mergeCell ref="A3:G3"/>
    <mergeCell ref="A21:G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2026-09-26T09:13:06Z</dcterms:created>
  <dcterms:modified xsi:type="dcterms:W3CDTF">2026-09-26T09:13:06Z</dcterms:modified>
</cp:coreProperties>
</file>