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&amp; Basis" sheetId="1" state="visible" r:id="rId1"/>
    <sheet name="Circuit Schedule" sheetId="2" state="visible" r:id="rId2"/>
    <sheet name="Quantity Takeoff" sheetId="3" state="visible" r:id="rId3"/>
    <sheet name="Pricing" sheetId="4" state="visible" r:id="rId4"/>
    <sheet name="Summary" sheetId="5" state="visible" r:id="rId5"/>
  </sheets>
  <definedNames>
    <definedName name="gross_sf">'Cover &amp; Basis'!$D$12</definedName>
    <definedName name="panel_x">'Cover &amp; Basis'!$D$13</definedName>
    <definedName name="panel_y">'Cover &amp; Basis'!$D$14</definedName>
    <definedName name="panel_rise">'Cover &amp; Basis'!$D$15</definedName>
    <definedName name="lt_sp">'Cover &amp; Basis'!$D$16</definedName>
    <definedName name="rc_sp">'Cover &amp; Basis'!$D$17</definedName>
    <definedName name="rc_drop">'Cover &amp; Basis'!$D$18</definedName>
    <definedName name="dd_run">'Cover &amp; Basis'!$D$19</definedName>
    <definedName name="ef_run">'Cover &amp; Basis'!$D$20</definedName>
    <definedName name="rtu_rise">'Cover &amp; Basis'!$D$21</definedName>
    <definedName name="wh_drop">'Cover &amp; Basis'!$D$22</definedName>
    <definedName name="makeup_ft">'Cover &amp; Basis'!$D$23</definedName>
    <definedName name="vd_lf">'Cover &amp; Basis'!$D$24</definedName>
    <definedName name="fdr_len">'Cover &amp; Basis'!$D$25</definedName>
    <definedName name="fdr_term">'Cover &amp; Basis'!$D$26</definedName>
    <definedName name="oo_area">'Cover &amp; Basis'!$D$27</definedName>
    <definedName name="sf_a_open">'Cover &amp; Basis'!$D$28</definedName>
    <definedName name="sf_a_room">'Cover &amp; Basis'!$D$29</definedName>
    <definedName name="n_off">'Cover &amp; Basis'!$D$30</definedName>
    <definedName name="fx_a">'Cover &amp; Basis'!$D$31</definedName>
    <definedName name="fx_b">'Cover &amp; Basis'!$D$32</definedName>
    <definedName name="fx_c">'Cover &amp; Basis'!$D$33</definedName>
    <definedName name="fx_d">'Cover &amp; Basis'!$D$34</definedName>
    <definedName name="fx_x">'Cover &amp; Basis'!$D$35</definedName>
    <definedName name="n_dup">'Cover &amp; Basis'!$D$36</definedName>
    <definedName name="n_gfci">'Cover &amp; Basis'!$D$37</definedName>
    <definedName name="n_ded">'Cover &amp; Basis'!$D$38</definedName>
    <definedName name="n_occw">'Cover &amp; Basis'!$D$39</definedName>
    <definedName name="n_occc">'Cover &amp; Basis'!$D$40</definedName>
    <definedName name="n_sw">'Cover &amp; Basis'!$D$41</definedName>
    <definedName name="rate_elec">'Cover &amp; Basis'!$D$42</definedName>
    <definedName name="tax_rate">'Cover &amp; Basis'!$D$43</definedName>
    <definedName name="oh_pct">'Cover &amp; Basis'!$D$44</definedName>
    <definedName name="profit_pct">'Cover &amp; Basis'!$D$45</definedName>
    <definedName name="emt_34">'Quantity Takeoff'!$E$15</definedName>
    <definedName name="emt_34_w">'Quantity Takeoff'!$H$15</definedName>
    <definedName name="emt_1">'Quantity Takeoff'!$E$16</definedName>
    <definedName name="emt_1_w">'Quantity Takeoff'!$H$16</definedName>
    <definedName name="dev_boxes">'Quantity Takeoff'!$E$19</definedName>
    <definedName name="dev_boxes_w">'Quantity Takeoff'!$H$19</definedName>
    <definedName name="j_boxes">'Quantity Takeoff'!$E$20</definedName>
    <definedName name="j_boxes_w">'Quantity Takeoff'!$H$20</definedName>
    <definedName name="_xlnm._FilterDatabase" localSheetId="2" hidden="1">'Quantity Takeoff'!$A$5:$J$39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####"/>
    <numFmt numFmtId="165" formatCode="0.0%"/>
    <numFmt numFmtId="166" formatCode="0.0"/>
    <numFmt numFmtId="167" formatCode="#,##0.00;(#,##0.00);&quot;-&quot;"/>
    <numFmt numFmtId="168" formatCode="$#,##0.00;($#,##0.00);&quot;-&quot;"/>
    <numFmt numFmtId="169" formatCode="0.0000"/>
    <numFmt numFmtId="170" formatCode="#,##0.0"/>
    <numFmt numFmtId="171" formatCode="$#,##0;($#,##0);&quot;-&quot;"/>
  </numFmts>
  <fonts count="15">
    <font>
      <name val="Calibri"/>
      <family val="2"/>
      <color theme="1"/>
      <sz val="11"/>
      <scheme val="minor"/>
    </font>
    <font>
      <name val="Arial"/>
      <b val="1"/>
      <color rgb="00FF6B35"/>
      <sz val="16"/>
    </font>
    <font>
      <name val="Arial"/>
      <b val="1"/>
      <color rgb="000B132B"/>
      <sz val="12"/>
    </font>
    <font>
      <name val="Arial"/>
      <i val="1"/>
      <color rgb="007A2E0E"/>
      <sz val="8"/>
    </font>
    <font>
      <name val="Arial"/>
      <b val="1"/>
      <sz val="9"/>
    </font>
    <font>
      <name val="Arial"/>
      <sz val="9"/>
    </font>
    <font>
      <name val="Arial"/>
      <b val="1"/>
      <color rgb="00FFFFFF"/>
      <sz val="9"/>
    </font>
    <font>
      <name val="Consolas"/>
      <color rgb="00555555"/>
      <sz val="9"/>
    </font>
    <font>
      <name val="Arial"/>
      <color rgb="000000FF"/>
      <sz val="9"/>
    </font>
    <font>
      <name val="Arial"/>
      <color rgb="00555555"/>
      <sz val="8"/>
    </font>
    <font>
      <name val="Consolas"/>
      <color rgb="00444444"/>
      <sz val="8"/>
    </font>
    <font>
      <name val="Arial"/>
      <sz val="8"/>
    </font>
    <font>
      <name val="Arial"/>
      <color rgb="00008000"/>
      <sz val="9"/>
    </font>
    <font>
      <name val="Arial"/>
      <i val="1"/>
      <color rgb="00555555"/>
      <sz val="8"/>
    </font>
    <font>
      <name val="Arial"/>
      <i val="1"/>
      <sz val="8"/>
    </font>
  </fonts>
  <fills count="5">
    <fill>
      <patternFill/>
    </fill>
    <fill>
      <patternFill patternType="gray125"/>
    </fill>
    <fill>
      <patternFill patternType="solid">
        <fgColor rgb="00FFF5F0"/>
      </patternFill>
    </fill>
    <fill>
      <patternFill patternType="solid">
        <fgColor rgb="000B132B"/>
      </patternFill>
    </fill>
    <fill>
      <patternFill patternType="solid">
        <fgColor rgb="00FFE3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5" fillId="0" borderId="1" pivotButton="0" quotePrefix="0" xfId="0"/>
    <xf numFmtId="0" fontId="7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vertical="top" wrapText="1"/>
    </xf>
    <xf numFmtId="164" fontId="8" fillId="0" borderId="1" pivotButton="0" quotePrefix="0" xfId="0"/>
    <xf numFmtId="165" fontId="8" fillId="0" borderId="1" pivotButton="0" quotePrefix="0" xfId="0"/>
    <xf numFmtId="0" fontId="9" fillId="0" borderId="0" applyAlignment="1" pivotButton="0" quotePrefix="0" xfId="0">
      <alignment vertical="top" wrapText="1"/>
    </xf>
    <xf numFmtId="166" fontId="8" fillId="0" borderId="1" pivotButton="0" quotePrefix="0" xfId="0"/>
    <xf numFmtId="1" fontId="8" fillId="0" borderId="1" pivotButton="0" quotePrefix="0" xfId="0"/>
    <xf numFmtId="166" fontId="5" fillId="0" borderId="1" pivotButton="0" quotePrefix="0" xfId="0"/>
    <xf numFmtId="3" fontId="8" fillId="0" borderId="1" pivotButton="0" quotePrefix="0" xfId="0"/>
    <xf numFmtId="0" fontId="4" fillId="4" borderId="0" pivotButton="0" quotePrefix="0" xfId="0"/>
    <xf numFmtId="1" fontId="4" fillId="4" borderId="0" pivotButton="0" quotePrefix="0" xfId="0"/>
    <xf numFmtId="166" fontId="4" fillId="4" borderId="0" pivotButton="0" quotePrefix="0" xfId="0"/>
    <xf numFmtId="3" fontId="4" fillId="4" borderId="0" pivotButton="0" quotePrefix="0" xfId="0"/>
    <xf numFmtId="0" fontId="9" fillId="0" borderId="0" pivotButton="0" quotePrefix="0" xfId="0"/>
    <xf numFmtId="167" fontId="5" fillId="0" borderId="1" pivotButton="0" quotePrefix="0" xfId="0"/>
    <xf numFmtId="167" fontId="4" fillId="0" borderId="1" pivotButton="0" quotePrefix="0" xfId="0"/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7" fontId="12" fillId="0" borderId="1" pivotButton="0" quotePrefix="0" xfId="0"/>
    <xf numFmtId="168" fontId="8" fillId="0" borderId="1" pivotButton="0" quotePrefix="0" xfId="0"/>
    <xf numFmtId="168" fontId="5" fillId="0" borderId="1" pivotButton="0" quotePrefix="0" xfId="0"/>
    <xf numFmtId="169" fontId="8" fillId="0" borderId="1" pivotButton="0" quotePrefix="0" xfId="0"/>
    <xf numFmtId="170" fontId="5" fillId="0" borderId="1" pivotButton="0" quotePrefix="0" xfId="0"/>
    <xf numFmtId="168" fontId="12" fillId="0" borderId="1" pivotButton="0" quotePrefix="0" xfId="0"/>
    <xf numFmtId="168" fontId="4" fillId="0" borderId="1" pivotButton="0" quotePrefix="0" xfId="0"/>
    <xf numFmtId="168" fontId="4" fillId="4" borderId="0" pivotButton="0" quotePrefix="0" xfId="0"/>
    <xf numFmtId="170" fontId="4" fillId="4" borderId="0" pivotButton="0" quotePrefix="0" xfId="0"/>
    <xf numFmtId="0" fontId="13" fillId="0" borderId="0" pivotButton="0" quotePrefix="0" xfId="0"/>
    <xf numFmtId="165" fontId="12" fillId="0" borderId="0" pivotButton="0" quotePrefix="0" xfId="0"/>
    <xf numFmtId="168" fontId="5" fillId="0" borderId="0" pivotButton="0" quotePrefix="0" xfId="0"/>
    <xf numFmtId="171" fontId="4" fillId="4" borderId="0" pivotButton="0" quotePrefix="0" xfId="0"/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22" customWidth="1" min="3" max="3"/>
    <col width="14" customWidth="1" min="4" max="4"/>
    <col width="10" customWidth="1" min="5" max="5"/>
    <col width="60" customWidth="1" min="6" max="6"/>
  </cols>
  <sheetData>
    <row r="1">
      <c r="A1" s="1" t="inlineStr">
        <is>
          <t>F&amp;K Estimatings</t>
        </is>
      </c>
    </row>
    <row r="2">
      <c r="A2" s="2" t="inlineStr">
        <is>
          <t>Electrical Takeoff Sample — Cover &amp; Basis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>
      <c r="A5" s="4" t="inlineStr">
        <is>
          <t>Project</t>
        </is>
      </c>
      <c r="B5" s="4" t="inlineStr">
        <is>
          <t>Representative sample project: 6,000 SF office tenant fit-out in a 100' x 60' single-story building</t>
        </is>
      </c>
    </row>
    <row r="6">
      <c r="A6" s="4" t="inlineStr">
        <is>
          <t>Trade / CSI</t>
        </is>
      </c>
      <c r="B6" s="5" t="inlineStr">
        <is>
          <t>Electrical — CSI Division 26</t>
        </is>
      </c>
    </row>
    <row r="7" ht="48" customHeight="1">
      <c r="A7" s="4" t="inlineStr">
        <is>
          <t>Description</t>
        </is>
      </c>
      <c r="B7" s="6" t="inlineStr">
        <is>
          <t>Tenant electrical for a 6,000 SF office: 208Y/120 V 3-phase, 4-wire. A 400 A tenant main panel (MDP) feeds two 7.5-ton rooftop units, an electric water heater and a 225 A lighting/receptacle panel (LP-1). Both panels sit in Electrical/IT room 109. Branch circuits run in 3/4" EMT above a 9'-0" ACT ceiling (raceway elevation 10'-0"); every conduit length in the circuit schedule is measured from the panel to the served area on the sample plan, so each run can be traced.</t>
        </is>
      </c>
    </row>
    <row r="8">
      <c r="A8" s="4" t="inlineStr">
        <is>
          <t>Prepared by</t>
        </is>
      </c>
      <c r="B8" s="5" t="inlineStr">
        <is>
          <t>F&amp;K Estimatings (fandkestimatings.us) — sample for format illustration only</t>
        </is>
      </c>
    </row>
    <row r="10">
      <c r="A10" s="2" t="inlineStr">
        <is>
          <t>ASSUMPTIONS &amp; BASIS — blue values are inputs; change one and the workbook recalculates</t>
        </is>
      </c>
    </row>
    <row r="11" ht="26" customHeight="1">
      <c r="A11" s="7" t="inlineStr">
        <is>
          <t>Section</t>
        </is>
      </c>
      <c r="B11" s="7" t="inlineStr">
        <is>
          <t>Parameter</t>
        </is>
      </c>
      <c r="C11" s="7" t="inlineStr">
        <is>
          <t>Name used in formulas</t>
        </is>
      </c>
      <c r="D11" s="7" t="inlineStr">
        <is>
          <t>Value</t>
        </is>
      </c>
      <c r="E11" s="7" t="inlineStr">
        <is>
          <t>Unit</t>
        </is>
      </c>
      <c r="F11" s="7" t="inlineStr">
        <is>
          <t>Note / basis</t>
        </is>
      </c>
    </row>
    <row r="12">
      <c r="A12" s="8" t="inlineStr">
        <is>
          <t>Building</t>
        </is>
      </c>
      <c r="B12" s="8" t="inlineStr">
        <is>
          <t>Tenant area</t>
        </is>
      </c>
      <c r="C12" s="9" t="inlineStr">
        <is>
          <t>gross_sf</t>
        </is>
      </c>
      <c r="D12" s="10">
        <f>100*60</f>
        <v>6000.0</v>
      </c>
      <c r="E12" s="8" t="inlineStr">
        <is>
          <t>SF</t>
        </is>
      </c>
      <c r="F12" s="11" t="inlineStr">
        <is>
          <t>100' x 60'</t>
        </is>
      </c>
    </row>
    <row r="13">
      <c r="A13" s="8" t="inlineStr">
        <is>
          <t>Raceway</t>
        </is>
      </c>
      <c r="B13" s="8" t="inlineStr">
        <is>
          <t>Panel location, x (east of SW corner)</t>
        </is>
      </c>
      <c r="C13" s="9" t="inlineStr">
        <is>
          <t>panel_x</t>
        </is>
      </c>
      <c r="D13" s="12" t="n">
        <v>68</v>
      </c>
      <c r="E13" s="8" t="inlineStr">
        <is>
          <t>ft</t>
        </is>
      </c>
      <c r="F13" s="11" t="inlineStr">
        <is>
          <t>Electrical/IT 109</t>
        </is>
      </c>
    </row>
    <row r="14">
      <c r="A14" s="8" t="inlineStr">
        <is>
          <t>Raceway</t>
        </is>
      </c>
      <c r="B14" s="8" t="inlineStr">
        <is>
          <t>Panel location, y (north of SW corner)</t>
        </is>
      </c>
      <c r="C14" s="9" t="inlineStr">
        <is>
          <t>panel_y</t>
        </is>
      </c>
      <c r="D14" s="12" t="n">
        <v>6</v>
      </c>
      <c r="E14" s="8" t="inlineStr">
        <is>
          <t>ft</t>
        </is>
      </c>
      <c r="F14" s="11" t="inlineStr"/>
    </row>
    <row r="15">
      <c r="A15" s="8" t="inlineStr">
        <is>
          <t>Raceway</t>
        </is>
      </c>
      <c r="B15" s="8" t="inlineStr">
        <is>
          <t>Panel top to ceiling raceway</t>
        </is>
      </c>
      <c r="C15" s="9" t="inlineStr">
        <is>
          <t>panel_rise</t>
        </is>
      </c>
      <c r="D15" s="12" t="n">
        <v>4</v>
      </c>
      <c r="E15" s="8" t="inlineStr">
        <is>
          <t>ft</t>
        </is>
      </c>
      <c r="F15" s="11" t="inlineStr">
        <is>
          <t>Panel top 6'-0" to 10'-0"</t>
        </is>
      </c>
    </row>
    <row r="16">
      <c r="A16" s="8" t="inlineStr">
        <is>
          <t>Raceway</t>
        </is>
      </c>
      <c r="B16" s="8" t="inlineStr">
        <is>
          <t>Conduit between lighting j-boxes</t>
        </is>
      </c>
      <c r="C16" s="9" t="inlineStr">
        <is>
          <t>lt_sp</t>
        </is>
      </c>
      <c r="D16" s="12" t="n">
        <v>10</v>
      </c>
      <c r="E16" s="8" t="inlineStr">
        <is>
          <t>ft</t>
        </is>
      </c>
      <c r="F16" s="11" t="inlineStr">
        <is>
          <t>8' x 10' fixture grid</t>
        </is>
      </c>
    </row>
    <row r="17">
      <c r="A17" s="8" t="inlineStr">
        <is>
          <t>Raceway</t>
        </is>
      </c>
      <c r="B17" s="8" t="inlineStr">
        <is>
          <t>Horizontal run between receptacles</t>
        </is>
      </c>
      <c r="C17" s="9" t="inlineStr">
        <is>
          <t>rc_sp</t>
        </is>
      </c>
      <c r="D17" s="12" t="n">
        <v>12</v>
      </c>
      <c r="E17" s="8" t="inlineStr">
        <is>
          <t>ft</t>
        </is>
      </c>
      <c r="F17" s="11" t="inlineStr"/>
    </row>
    <row r="18">
      <c r="A18" s="8" t="inlineStr">
        <is>
          <t>Raceway</t>
        </is>
      </c>
      <c r="B18" s="8" t="inlineStr">
        <is>
          <t>Drop to receptacle (10'-0" to 18" AFF)</t>
        </is>
      </c>
      <c r="C18" s="9" t="inlineStr">
        <is>
          <t>rc_drop</t>
        </is>
      </c>
      <c r="D18" s="12" t="n">
        <v>8.5</v>
      </c>
      <c r="E18" s="8" t="inlineStr">
        <is>
          <t>ft</t>
        </is>
      </c>
      <c r="F18" s="11" t="inlineStr"/>
    </row>
    <row r="19">
      <c r="A19" s="8" t="inlineStr">
        <is>
          <t>Raceway</t>
        </is>
      </c>
      <c r="B19" s="8" t="inlineStr">
        <is>
          <t>Extra horizontal to a dedicated outlet</t>
        </is>
      </c>
      <c r="C19" s="9" t="inlineStr">
        <is>
          <t>dd_run</t>
        </is>
      </c>
      <c r="D19" s="12" t="n">
        <v>10</v>
      </c>
      <c r="E19" s="8" t="inlineStr">
        <is>
          <t>ft</t>
        </is>
      </c>
      <c r="F19" s="11" t="inlineStr"/>
    </row>
    <row r="20">
      <c r="A20" s="8" t="inlineStr">
        <is>
          <t>Raceway</t>
        </is>
      </c>
      <c r="B20" s="8" t="inlineStr">
        <is>
          <t>Run per exhaust fan</t>
        </is>
      </c>
      <c r="C20" s="9" t="inlineStr">
        <is>
          <t>ef_run</t>
        </is>
      </c>
      <c r="D20" s="12" t="n">
        <v>8</v>
      </c>
      <c r="E20" s="8" t="inlineStr">
        <is>
          <t>ft</t>
        </is>
      </c>
      <c r="F20" s="11" t="inlineStr"/>
    </row>
    <row r="21">
      <c r="A21" s="8" t="inlineStr">
        <is>
          <t>Raceway</t>
        </is>
      </c>
      <c r="B21" s="8" t="inlineStr">
        <is>
          <t>Ceiling to rooftop disconnect</t>
        </is>
      </c>
      <c r="C21" s="9" t="inlineStr">
        <is>
          <t>rtu_rise</t>
        </is>
      </c>
      <c r="D21" s="12" t="n">
        <v>10</v>
      </c>
      <c r="E21" s="8" t="inlineStr">
        <is>
          <t>ft</t>
        </is>
      </c>
      <c r="F21" s="11" t="inlineStr">
        <is>
          <t>Roof 16'-0" + 4' to disconnect</t>
        </is>
      </c>
    </row>
    <row r="22">
      <c r="A22" s="8" t="inlineStr">
        <is>
          <t>Raceway</t>
        </is>
      </c>
      <c r="B22" s="8" t="inlineStr">
        <is>
          <t>Drop to water heater disconnect</t>
        </is>
      </c>
      <c r="C22" s="9" t="inlineStr">
        <is>
          <t>wh_drop</t>
        </is>
      </c>
      <c r="D22" s="12" t="n">
        <v>6</v>
      </c>
      <c r="E22" s="8" t="inlineStr">
        <is>
          <t>ft</t>
        </is>
      </c>
      <c r="F22" s="11" t="inlineStr"/>
    </row>
    <row r="23">
      <c r="A23" s="8" t="inlineStr">
        <is>
          <t>Wire</t>
        </is>
      </c>
      <c r="B23" s="8" t="inlineStr">
        <is>
          <t>Wire make-up per conductor per box/termination</t>
        </is>
      </c>
      <c r="C23" s="9" t="inlineStr">
        <is>
          <t>makeup_ft</t>
        </is>
      </c>
      <c r="D23" s="12" t="n">
        <v>1</v>
      </c>
      <c r="E23" s="8" t="inlineStr">
        <is>
          <t>ft</t>
        </is>
      </c>
      <c r="F23" s="11" t="inlineStr"/>
    </row>
    <row r="24">
      <c r="A24" s="8" t="inlineStr">
        <is>
          <t>Wire</t>
        </is>
      </c>
      <c r="B24" s="8" t="inlineStr">
        <is>
          <t>Upsize #12 to #10 when circuit conduit length exceeds</t>
        </is>
      </c>
      <c r="C24" s="9" t="inlineStr">
        <is>
          <t>vd_lf</t>
        </is>
      </c>
      <c r="D24" s="12" t="n">
        <v>100</v>
      </c>
      <c r="E24" s="8" t="inlineStr">
        <is>
          <t>ft</t>
        </is>
      </c>
      <c r="F24" s="11" t="inlineStr">
        <is>
          <t>Voltage-drop rule of thumb for 120 V 20 A; ground upsized with phase</t>
        </is>
      </c>
    </row>
    <row r="25">
      <c r="A25" s="8" t="inlineStr">
        <is>
          <t>Feeder</t>
        </is>
      </c>
      <c r="B25" s="8" t="inlineStr">
        <is>
          <t>MDP to LP-1 feeder length</t>
        </is>
      </c>
      <c r="C25" s="9" t="inlineStr">
        <is>
          <t>fdr_len</t>
        </is>
      </c>
      <c r="D25" s="12" t="n">
        <v>15</v>
      </c>
      <c r="E25" s="8" t="inlineStr">
        <is>
          <t>ft</t>
        </is>
      </c>
      <c r="F25" s="11" t="inlineStr">
        <is>
          <t>Same room</t>
        </is>
      </c>
    </row>
    <row r="26">
      <c r="A26" s="8" t="inlineStr">
        <is>
          <t>Feeder</t>
        </is>
      </c>
      <c r="B26" s="8" t="inlineStr">
        <is>
          <t>Feeder make-up per conductor per end</t>
        </is>
      </c>
      <c r="C26" s="9" t="inlineStr">
        <is>
          <t>fdr_term</t>
        </is>
      </c>
      <c r="D26" s="12" t="n">
        <v>3</v>
      </c>
      <c r="E26" s="8" t="inlineStr">
        <is>
          <t>ft</t>
        </is>
      </c>
      <c r="F26" s="11" t="inlineStr"/>
    </row>
    <row r="27">
      <c r="A27" s="8" t="inlineStr">
        <is>
          <t>Fixtures</t>
        </is>
      </c>
      <c r="B27" s="8" t="inlineStr">
        <is>
          <t>Open office area</t>
        </is>
      </c>
      <c r="C27" s="9" t="inlineStr">
        <is>
          <t>oo_area</t>
        </is>
      </c>
      <c r="D27" s="10">
        <f>100*45-36*12-24*20</f>
        <v>3588.0</v>
      </c>
      <c r="E27" s="8" t="inlineStr">
        <is>
          <t>SF</t>
        </is>
      </c>
      <c r="F27" s="11" t="inlineStr">
        <is>
          <t>L-shaped area south of y=45'</t>
        </is>
      </c>
    </row>
    <row r="28">
      <c r="A28" s="8" t="inlineStr">
        <is>
          <t>Fixtures</t>
        </is>
      </c>
      <c r="B28" s="8" t="inlineStr">
        <is>
          <t>Area per Type A troffer, open office</t>
        </is>
      </c>
      <c r="C28" s="9" t="inlineStr">
        <is>
          <t>sf_a_open</t>
        </is>
      </c>
      <c r="D28" s="12" t="n">
        <v>80</v>
      </c>
      <c r="E28" s="8" t="inlineStr">
        <is>
          <t>SF</t>
        </is>
      </c>
      <c r="F28" s="11" t="inlineStr"/>
    </row>
    <row r="29">
      <c r="A29" s="8" t="inlineStr">
        <is>
          <t>Fixtures</t>
        </is>
      </c>
      <c r="B29" s="8" t="inlineStr">
        <is>
          <t>Area per Type A troffer, enclosed rooms</t>
        </is>
      </c>
      <c r="C29" s="9" t="inlineStr">
        <is>
          <t>sf_a_room</t>
        </is>
      </c>
      <c r="D29" s="12" t="n">
        <v>60</v>
      </c>
      <c r="E29" s="8" t="inlineStr">
        <is>
          <t>SF</t>
        </is>
      </c>
      <c r="F29" s="11" t="inlineStr"/>
    </row>
    <row r="30">
      <c r="A30" s="8" t="inlineStr">
        <is>
          <t>Fixtures</t>
        </is>
      </c>
      <c r="B30" s="8" t="inlineStr">
        <is>
          <t>Private offices (12' x 15')</t>
        </is>
      </c>
      <c r="C30" s="9" t="inlineStr">
        <is>
          <t>n_off</t>
        </is>
      </c>
      <c r="D30" s="12" t="n">
        <v>5</v>
      </c>
      <c r="E30" s="8" t="inlineStr">
        <is>
          <t>EA</t>
        </is>
      </c>
      <c r="F30" s="11" t="inlineStr"/>
    </row>
    <row r="31">
      <c r="A31" s="8" t="inlineStr">
        <is>
          <t>Fixtures</t>
        </is>
      </c>
      <c r="B31" s="8" t="inlineStr">
        <is>
          <t>Type A 2x4 LED troffer 40 W</t>
        </is>
      </c>
      <c r="C31" s="9" t="inlineStr">
        <is>
          <t>fx_a</t>
        </is>
      </c>
      <c r="D31" s="10">
        <f>ROUNDUP(oo_area/sf_a_open,0)+n_off*ROUNDUP(12*15/sf_a_room,0)+ROUNDUP(20*15/sf_a_room,0)+ROUNDUP(24*20/sf_a_room,0)</f>
        <v>73.0</v>
      </c>
      <c r="E31" s="8" t="inlineStr">
        <is>
          <t>EA</t>
        </is>
      </c>
      <c r="F31" s="11" t="inlineStr">
        <is>
          <t>Open office + offices + conference + break</t>
        </is>
      </c>
    </row>
    <row r="32">
      <c r="A32" s="8" t="inlineStr">
        <is>
          <t>Fixtures</t>
        </is>
      </c>
      <c r="B32" s="8" t="inlineStr">
        <is>
          <t>Type B 6" LED downlight 15 W (lobby)</t>
        </is>
      </c>
      <c r="C32" s="9" t="inlineStr">
        <is>
          <t>fx_b</t>
        </is>
      </c>
      <c r="D32" s="10">
        <f>ROUNDUP(20*15/40,0)</f>
        <v>8.0</v>
      </c>
      <c r="E32" s="8" t="inlineStr">
        <is>
          <t>EA</t>
        </is>
      </c>
      <c r="F32" s="11" t="inlineStr">
        <is>
          <t>1 per 40 SF</t>
        </is>
      </c>
    </row>
    <row r="33">
      <c r="A33" s="8" t="inlineStr">
        <is>
          <t>Fixtures</t>
        </is>
      </c>
      <c r="B33" s="8" t="inlineStr">
        <is>
          <t>Type C 2x2 LED flat panel 30 W (restrooms)</t>
        </is>
      </c>
      <c r="C33" s="9" t="inlineStr">
        <is>
          <t>fx_c</t>
        </is>
      </c>
      <c r="D33" s="10">
        <f>2*ROUNDUP(11*12/66,0)</f>
        <v>4.0</v>
      </c>
      <c r="E33" s="8" t="inlineStr">
        <is>
          <t>EA</t>
        </is>
      </c>
      <c r="F33" s="11" t="inlineStr">
        <is>
          <t>1 per 66 SF</t>
        </is>
      </c>
    </row>
    <row r="34">
      <c r="A34" s="8" t="inlineStr">
        <is>
          <t>Fixtures</t>
        </is>
      </c>
      <c r="B34" s="8" t="inlineStr">
        <is>
          <t>Type D 4' LED strip 40 W (elec + janitor)</t>
        </is>
      </c>
      <c r="C34" s="9" t="inlineStr">
        <is>
          <t>fx_d</t>
        </is>
      </c>
      <c r="D34" s="12" t="n">
        <v>3</v>
      </c>
      <c r="E34" s="8" t="inlineStr">
        <is>
          <t>EA</t>
        </is>
      </c>
      <c r="F34" s="11" t="inlineStr">
        <is>
          <t>2 + 1</t>
        </is>
      </c>
    </row>
    <row r="35">
      <c r="A35" s="8" t="inlineStr">
        <is>
          <t>Fixtures</t>
        </is>
      </c>
      <c r="B35" s="8" t="inlineStr">
        <is>
          <t>Type X exit / emergency combo</t>
        </is>
      </c>
      <c r="C35" s="9" t="inlineStr">
        <is>
          <t>fx_x</t>
        </is>
      </c>
      <c r="D35" s="12" t="n">
        <v>6</v>
      </c>
      <c r="E35" s="8" t="inlineStr">
        <is>
          <t>EA</t>
        </is>
      </c>
      <c r="F35" s="11" t="inlineStr">
        <is>
          <t>Sample sheet E-101</t>
        </is>
      </c>
    </row>
    <row r="36">
      <c r="A36" s="8" t="inlineStr">
        <is>
          <t>Devices</t>
        </is>
      </c>
      <c r="B36" s="8" t="inlineStr">
        <is>
          <t>Duplex receptacles 20 A (general)</t>
        </is>
      </c>
      <c r="C36" s="9" t="inlineStr">
        <is>
          <t>n_dup</t>
        </is>
      </c>
      <c r="D36" s="10">
        <f>24+n_off*4+4+4+2</f>
        <v>54.0</v>
      </c>
      <c r="E36" s="8" t="inlineStr">
        <is>
          <t>EA</t>
        </is>
      </c>
      <c r="F36" s="11" t="inlineStr">
        <is>
          <t>Open office 24, offices 4 ea, conference 4, lobby 4, elec 2</t>
        </is>
      </c>
    </row>
    <row r="37">
      <c r="A37" s="8" t="inlineStr">
        <is>
          <t>Devices</t>
        </is>
      </c>
      <c r="B37" s="8" t="inlineStr">
        <is>
          <t>GFCI receptacles 20 A</t>
        </is>
      </c>
      <c r="C37" s="9" t="inlineStr">
        <is>
          <t>n_gfci</t>
        </is>
      </c>
      <c r="D37" s="10">
        <f>6+3</f>
        <v>9.0</v>
      </c>
      <c r="E37" s="8" t="inlineStr">
        <is>
          <t>EA</t>
        </is>
      </c>
      <c r="F37" s="11" t="inlineStr">
        <is>
          <t>Break counter 6, restrooms 2, janitor 1</t>
        </is>
      </c>
    </row>
    <row r="38">
      <c r="A38" s="8" t="inlineStr">
        <is>
          <t>Devices</t>
        </is>
      </c>
      <c r="B38" s="8" t="inlineStr">
        <is>
          <t>Dedicated receptacles 20 A</t>
        </is>
      </c>
      <c r="C38" s="9" t="inlineStr">
        <is>
          <t>n_ded</t>
        </is>
      </c>
      <c r="D38" s="12" t="n">
        <v>4</v>
      </c>
      <c r="E38" s="8" t="inlineStr">
        <is>
          <t>EA</t>
        </is>
      </c>
      <c r="F38" s="11" t="inlineStr">
        <is>
          <t>Refrigerator, microwave, IT rack, copier</t>
        </is>
      </c>
    </row>
    <row r="39">
      <c r="A39" s="8" t="inlineStr">
        <is>
          <t>Devices</t>
        </is>
      </c>
      <c r="B39" s="8" t="inlineStr">
        <is>
          <t>Wall-box occupancy sensors</t>
        </is>
      </c>
      <c r="C39" s="9" t="inlineStr">
        <is>
          <t>n_occw</t>
        </is>
      </c>
      <c r="D39" s="10">
        <f>n_off+1+1+2+1</f>
        <v>10.0</v>
      </c>
      <c r="E39" s="8" t="inlineStr">
        <is>
          <t>EA</t>
        </is>
      </c>
      <c r="F39" s="11" t="inlineStr">
        <is>
          <t>Offices, conference, break, restrooms, janitor</t>
        </is>
      </c>
    </row>
    <row r="40">
      <c r="A40" s="8" t="inlineStr">
        <is>
          <t>Devices</t>
        </is>
      </c>
      <c r="B40" s="8" t="inlineStr">
        <is>
          <t>Ceiling occupancy sensors + power packs (open office)</t>
        </is>
      </c>
      <c r="C40" s="9" t="inlineStr">
        <is>
          <t>n_occc</t>
        </is>
      </c>
      <c r="D40" s="12" t="n">
        <v>6</v>
      </c>
      <c r="E40" s="8" t="inlineStr">
        <is>
          <t>EA</t>
        </is>
      </c>
      <c r="F40" s="11" t="inlineStr"/>
    </row>
    <row r="41">
      <c r="A41" s="8" t="inlineStr">
        <is>
          <t>Devices</t>
        </is>
      </c>
      <c r="B41" s="8" t="inlineStr">
        <is>
          <t>Toggle switches</t>
        </is>
      </c>
      <c r="C41" s="9" t="inlineStr">
        <is>
          <t>n_sw</t>
        </is>
      </c>
      <c r="D41" s="12" t="n">
        <v>2</v>
      </c>
      <c r="E41" s="8" t="inlineStr">
        <is>
          <t>EA</t>
        </is>
      </c>
      <c r="F41" s="11" t="inlineStr">
        <is>
          <t>Lobby, electrical room</t>
        </is>
      </c>
    </row>
    <row r="42">
      <c r="A42" s="8" t="inlineStr">
        <is>
          <t>Rates</t>
        </is>
      </c>
      <c r="B42" s="8" t="inlineStr">
        <is>
          <t>Electrician labor rate (burdened, blended)</t>
        </is>
      </c>
      <c r="C42" s="9" t="inlineStr">
        <is>
          <t>rate_elec</t>
        </is>
      </c>
      <c r="D42" s="12" t="n">
        <v>82</v>
      </c>
      <c r="E42" s="8" t="inlineStr">
        <is>
          <t>$/hr</t>
        </is>
      </c>
      <c r="F42" s="11" t="inlineStr">
        <is>
          <t>Illustrative</t>
        </is>
      </c>
    </row>
    <row r="43">
      <c r="A43" s="8" t="inlineStr">
        <is>
          <t>Markups</t>
        </is>
      </c>
      <c r="B43" s="8" t="inlineStr">
        <is>
          <t>Sales tax on material</t>
        </is>
      </c>
      <c r="C43" s="9" t="inlineStr">
        <is>
          <t>tax_rate</t>
        </is>
      </c>
      <c r="D43" s="13" t="n">
        <v>0.07000000000000001</v>
      </c>
      <c r="E43" s="8" t="inlineStr">
        <is>
          <t>%</t>
        </is>
      </c>
      <c r="F43" s="11" t="inlineStr">
        <is>
          <t>Assumption</t>
        </is>
      </c>
    </row>
    <row r="44">
      <c r="A44" s="8" t="inlineStr">
        <is>
          <t>Markups</t>
        </is>
      </c>
      <c r="B44" s="8" t="inlineStr">
        <is>
          <t>Overhead</t>
        </is>
      </c>
      <c r="C44" s="9" t="inlineStr">
        <is>
          <t>oh_pct</t>
        </is>
      </c>
      <c r="D44" s="13" t="n">
        <v>0.1</v>
      </c>
      <c r="E44" s="8" t="inlineStr">
        <is>
          <t>%</t>
        </is>
      </c>
      <c r="F44" s="11" t="inlineStr">
        <is>
          <t>Assumption</t>
        </is>
      </c>
    </row>
    <row r="45">
      <c r="A45" s="8" t="inlineStr">
        <is>
          <t>Markups</t>
        </is>
      </c>
      <c r="B45" s="8" t="inlineStr">
        <is>
          <t>Profit</t>
        </is>
      </c>
      <c r="C45" s="9" t="inlineStr">
        <is>
          <t>profit_pct</t>
        </is>
      </c>
      <c r="D45" s="13" t="n">
        <v>0.1</v>
      </c>
      <c r="E45" s="8" t="inlineStr">
        <is>
          <t>%</t>
        </is>
      </c>
      <c r="F45" s="11" t="inlineStr">
        <is>
          <t>Assumption</t>
        </is>
      </c>
    </row>
    <row r="47">
      <c r="A47" s="2" t="inlineStr">
        <is>
          <t>SCOPE INCLUDED</t>
        </is>
      </c>
    </row>
    <row r="48">
      <c r="B48" s="5" t="inlineStr">
        <is>
          <t>• Tenant main panel MDP, panel LP-1 and feeder</t>
        </is>
      </c>
    </row>
    <row r="49">
      <c r="B49" s="5" t="inlineStr">
        <is>
          <t>• Branch circuits: EMT, THHN wire, boxes, fittings</t>
        </is>
      </c>
    </row>
    <row r="50">
      <c r="B50" s="5" t="inlineStr">
        <is>
          <t>• Wiring devices, occupancy sensors, light fixtures Types A-X</t>
        </is>
      </c>
    </row>
    <row r="51">
      <c r="B51" s="5" t="inlineStr">
        <is>
          <t>• RTU and water heater circuits with disconnects</t>
        </is>
      </c>
    </row>
    <row r="52">
      <c r="B52" s="5" t="inlineStr">
        <is>
          <t>• Testing and labeling</t>
        </is>
      </c>
    </row>
    <row r="54">
      <c r="A54" s="2" t="inlineStr">
        <is>
          <t>EXCLUSIONS / BY OTHERS</t>
        </is>
      </c>
    </row>
    <row r="55">
      <c r="B55" s="5" t="inlineStr">
        <is>
          <t>• Utility service and service-entrance conductors to MDP (by shell)</t>
        </is>
      </c>
    </row>
    <row r="56">
      <c r="B56" s="5" t="inlineStr">
        <is>
          <t>• Fire alarm, data/telecom cabling, security</t>
        </is>
      </c>
    </row>
    <row r="57">
      <c r="B57" s="5" t="inlineStr">
        <is>
          <t>• Furniture power feeds / power poles (by furniture vendor)</t>
        </is>
      </c>
    </row>
    <row r="58">
      <c r="B58" s="5" t="inlineStr">
        <is>
          <t>• Roof penetrations and patching</t>
        </is>
      </c>
    </row>
    <row r="59">
      <c r="B59" s="5" t="inlineStr">
        <is>
          <t>• Permit fees; engineered load calculation and voltage-drop study</t>
        </is>
      </c>
    </row>
    <row r="61">
      <c r="A61" s="2" t="inlineStr">
        <is>
          <t>SAMPLE DRAWING LIST (sheets of the representative sample project, not a real plan set)</t>
        </is>
      </c>
    </row>
    <row r="62">
      <c r="B62" s="5" t="inlineStr">
        <is>
          <t>• E-001 — Legend, fixture schedule, notes (sample)</t>
        </is>
      </c>
    </row>
    <row r="63">
      <c r="B63" s="5" t="inlineStr">
        <is>
          <t>• E-101 — Lighting plan (sample)</t>
        </is>
      </c>
    </row>
    <row r="64">
      <c r="B64" s="5" t="inlineStr">
        <is>
          <t>• E-201 — Power plan (sample)</t>
        </is>
      </c>
    </row>
    <row r="65">
      <c r="B65" s="5" t="inlineStr">
        <is>
          <t>• E-301 — Panel schedules MDP / LP-1, one-line (sample)</t>
        </is>
      </c>
    </row>
  </sheetData>
  <mergeCells count="2">
    <mergeCell ref="A3:F3"/>
    <mergeCell ref="B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40" customWidth="1" min="3" max="3"/>
    <col width="6" customWidth="1" min="4" max="4"/>
    <col width="8" customWidth="1" min="5" max="5"/>
    <col width="8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8" customWidth="1" min="12" max="12"/>
    <col width="7" customWidth="1" min="13" max="13"/>
    <col width="7" customWidth="1" min="14" max="14"/>
    <col width="8" customWidth="1" min="15" max="15"/>
    <col width="7" customWidth="1" min="16" max="16"/>
    <col width="10" customWidth="1" min="17" max="17"/>
    <col width="7" customWidth="1" min="18" max="18"/>
    <col width="7" customWidth="1" min="19" max="19"/>
    <col width="7" customWidth="1" min="20" max="20"/>
    <col width="9" customWidth="1" min="21" max="21"/>
    <col width="9" customWidth="1" min="22" max="22"/>
    <col width="6" customWidth="1" min="23" max="23"/>
    <col width="8" customWidth="1" min="24" max="24"/>
  </cols>
  <sheetData>
    <row r="1">
      <c r="A1" s="1" t="inlineStr">
        <is>
          <t>F&amp;K Estimatings</t>
        </is>
      </c>
    </row>
    <row r="2">
      <c r="A2" s="2" t="inlineStr">
        <is>
          <t>Electrical Takeoff Sample — Panel &amp; circuit schedule (conduit and wire measured per circuit)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 ht="30" customHeight="1">
      <c r="A4" s="14" t="inlineStr">
        <is>
          <t>Home run = Manhattan distance from the panel to the served area + panel rise. Branch = devices x LF per device. One circuit per home-run conduit (no shared neutrals) - conservative. Load VA is illustrative nameplate/180 VA-per-yoke, not an engineered load calculation.</t>
        </is>
      </c>
    </row>
    <row r="5" ht="26" customHeight="1">
      <c r="A5" s="7" t="inlineStr">
        <is>
          <t>Circuit</t>
        </is>
      </c>
      <c r="B5" s="7" t="inlineStr">
        <is>
          <t>Panel</t>
        </is>
      </c>
      <c r="C5" s="7" t="inlineStr">
        <is>
          <t>Description</t>
        </is>
      </c>
      <c r="D5" s="7" t="inlineStr">
        <is>
          <t>Type</t>
        </is>
      </c>
      <c r="E5" s="7" t="inlineStr">
        <is>
          <t>Area x (ft)</t>
        </is>
      </c>
      <c r="F5" s="7" t="inlineStr">
        <is>
          <t>Area y (ft)</t>
        </is>
      </c>
      <c r="G5" s="7" t="inlineStr">
        <is>
          <t>Devices / fixtures</t>
        </is>
      </c>
      <c r="H5" s="7" t="inlineStr">
        <is>
          <t>LF per device</t>
        </is>
      </c>
      <c r="I5" s="7" t="inlineStr">
        <is>
          <t>Home run LF</t>
        </is>
      </c>
      <c r="J5" s="7" t="inlineStr">
        <is>
          <t>Branch LF</t>
        </is>
      </c>
      <c r="K5" s="7" t="inlineStr">
        <is>
          <t>Conduit LF</t>
        </is>
      </c>
      <c r="L5" s="7" t="inlineStr">
        <is>
          <t>Conduit</t>
        </is>
      </c>
      <c r="M5" s="7" t="inlineStr">
        <is>
          <t>Wire (base)</t>
        </is>
      </c>
      <c r="N5" s="7" t="inlineStr">
        <is>
          <t>Wire (if long)</t>
        </is>
      </c>
      <c r="O5" s="7" t="inlineStr">
        <is>
          <t>Phase + neutral cond.</t>
        </is>
      </c>
      <c r="P5" s="7" t="inlineStr">
        <is>
          <t>Wire used</t>
        </is>
      </c>
      <c r="Q5" s="7" t="inlineStr">
        <is>
          <t>Phase/neutral wire LF</t>
        </is>
      </c>
      <c r="R5" s="7" t="inlineStr">
        <is>
          <t>Ground (base)</t>
        </is>
      </c>
      <c r="S5" s="7" t="inlineStr">
        <is>
          <t>Ground (if long)</t>
        </is>
      </c>
      <c r="T5" s="7" t="inlineStr">
        <is>
          <t>Ground used</t>
        </is>
      </c>
      <c r="U5" s="7" t="inlineStr">
        <is>
          <t>Ground wire LF</t>
        </is>
      </c>
      <c r="V5" s="7" t="inlineStr">
        <is>
          <t>Load VA</t>
        </is>
      </c>
      <c r="W5" s="7" t="inlineStr">
        <is>
          <t>Poles</t>
        </is>
      </c>
      <c r="X5" s="7" t="inlineStr">
        <is>
          <t>Breaker A</t>
        </is>
      </c>
    </row>
    <row r="6">
      <c r="A6" s="8" t="inlineStr">
        <is>
          <t>LP1-1</t>
        </is>
      </c>
      <c r="B6" s="8" t="inlineStr">
        <is>
          <t>LP-1</t>
        </is>
      </c>
      <c r="C6" s="8" t="inlineStr">
        <is>
          <t>Lighting - open office west (Type A)</t>
        </is>
      </c>
      <c r="D6" s="8" t="inlineStr">
        <is>
          <t>L</t>
        </is>
      </c>
      <c r="E6" s="15" t="n">
        <v>16</v>
      </c>
      <c r="F6" s="15" t="n">
        <v>22</v>
      </c>
      <c r="G6" s="16" t="n">
        <v>23</v>
      </c>
      <c r="H6" s="17">
        <f>lt_sp</f>
        <v>10.0</v>
      </c>
      <c r="I6" s="17">
        <f>ABS(E6-panel_x)+ABS(F6-panel_y)+panel_rise</f>
        <v>72.0</v>
      </c>
      <c r="J6" s="17">
        <f>G6*H6</f>
        <v>230.0</v>
      </c>
      <c r="K6" s="17">
        <f>I6+J6</f>
        <v>302.0</v>
      </c>
      <c r="L6" s="8" t="inlineStr">
        <is>
          <t>3/4 in</t>
        </is>
      </c>
      <c r="M6" s="8" t="inlineStr">
        <is>
          <t>#12</t>
        </is>
      </c>
      <c r="N6" s="8" t="inlineStr">
        <is>
          <t>#10</t>
        </is>
      </c>
      <c r="O6" s="16" t="n">
        <v>2</v>
      </c>
      <c r="P6" s="8" t="str">
        <f>IF(K6&gt;vd_lf,N6,M6)</f>
        <v>#10</v>
      </c>
      <c r="Q6" s="17">
        <f>K6*O6+O6*(G6+1)*makeup_ft</f>
        <v>652.0</v>
      </c>
      <c r="R6" s="8" t="inlineStr">
        <is>
          <t>#12</t>
        </is>
      </c>
      <c r="S6" s="8" t="inlineStr">
        <is>
          <t>#10</t>
        </is>
      </c>
      <c r="T6" s="8" t="str">
        <f>IF(K6&gt;vd_lf,S6,R6)</f>
        <v>#10</v>
      </c>
      <c r="U6" s="17">
        <f>K6+(G6+1)*makeup_ft</f>
        <v>326.0</v>
      </c>
      <c r="V6" s="18" t="n">
        <v>920</v>
      </c>
      <c r="W6" s="16" t="n">
        <v>1</v>
      </c>
      <c r="X6" s="16" t="n">
        <v>20</v>
      </c>
    </row>
    <row r="7">
      <c r="A7" s="8" t="inlineStr">
        <is>
          <t>LP1-3</t>
        </is>
      </c>
      <c r="B7" s="8" t="inlineStr">
        <is>
          <t>LP-1</t>
        </is>
      </c>
      <c r="C7" s="8" t="inlineStr">
        <is>
          <t>Lighting - open office east (Type A)</t>
        </is>
      </c>
      <c r="D7" s="8" t="inlineStr">
        <is>
          <t>L</t>
        </is>
      </c>
      <c r="E7" s="15" t="n">
        <v>46</v>
      </c>
      <c r="F7" s="15" t="n">
        <v>22</v>
      </c>
      <c r="G7" s="16" t="n">
        <v>22</v>
      </c>
      <c r="H7" s="17">
        <f>lt_sp</f>
        <v>10.0</v>
      </c>
      <c r="I7" s="17">
        <f>ABS(E7-panel_x)+ABS(F7-panel_y)+panel_rise</f>
        <v>42.0</v>
      </c>
      <c r="J7" s="17">
        <f>G7*H7</f>
        <v>220.0</v>
      </c>
      <c r="K7" s="17">
        <f>I7+J7</f>
        <v>262.0</v>
      </c>
      <c r="L7" s="8" t="inlineStr">
        <is>
          <t>3/4 in</t>
        </is>
      </c>
      <c r="M7" s="8" t="inlineStr">
        <is>
          <t>#12</t>
        </is>
      </c>
      <c r="N7" s="8" t="inlineStr">
        <is>
          <t>#10</t>
        </is>
      </c>
      <c r="O7" s="16" t="n">
        <v>2</v>
      </c>
      <c r="P7" s="8" t="str">
        <f>IF(K7&gt;vd_lf,N7,M7)</f>
        <v>#10</v>
      </c>
      <c r="Q7" s="17">
        <f>K7*O7+O7*(G7+1)*makeup_ft</f>
        <v>570.0</v>
      </c>
      <c r="R7" s="8" t="inlineStr">
        <is>
          <t>#12</t>
        </is>
      </c>
      <c r="S7" s="8" t="inlineStr">
        <is>
          <t>#10</t>
        </is>
      </c>
      <c r="T7" s="8" t="str">
        <f>IF(K7&gt;vd_lf,S7,R7)</f>
        <v>#10</v>
      </c>
      <c r="U7" s="17">
        <f>K7+(G7+1)*makeup_ft</f>
        <v>285.0</v>
      </c>
      <c r="V7" s="18" t="n">
        <v>880</v>
      </c>
      <c r="W7" s="16" t="n">
        <v>1</v>
      </c>
      <c r="X7" s="16" t="n">
        <v>20</v>
      </c>
    </row>
    <row r="8">
      <c r="A8" s="8" t="inlineStr">
        <is>
          <t>LP1-5</t>
        </is>
      </c>
      <c r="B8" s="8" t="inlineStr">
        <is>
          <t>LP-1</t>
        </is>
      </c>
      <c r="C8" s="8" t="inlineStr">
        <is>
          <t>Lighting - offices 101-105 + conference (Type A)</t>
        </is>
      </c>
      <c r="D8" s="8" t="inlineStr">
        <is>
          <t>L</t>
        </is>
      </c>
      <c r="E8" s="15" t="n">
        <v>40</v>
      </c>
      <c r="F8" s="15" t="n">
        <v>52.5</v>
      </c>
      <c r="G8" s="16" t="n">
        <v>20</v>
      </c>
      <c r="H8" s="17">
        <f>lt_sp</f>
        <v>10.0</v>
      </c>
      <c r="I8" s="17">
        <f>ABS(E8-panel_x)+ABS(F8-panel_y)+panel_rise</f>
        <v>78.5</v>
      </c>
      <c r="J8" s="17">
        <f>G8*H8</f>
        <v>200.0</v>
      </c>
      <c r="K8" s="17">
        <f>I8+J8</f>
        <v>278.5</v>
      </c>
      <c r="L8" s="8" t="inlineStr">
        <is>
          <t>3/4 in</t>
        </is>
      </c>
      <c r="M8" s="8" t="inlineStr">
        <is>
          <t>#12</t>
        </is>
      </c>
      <c r="N8" s="8" t="inlineStr">
        <is>
          <t>#10</t>
        </is>
      </c>
      <c r="O8" s="16" t="n">
        <v>2</v>
      </c>
      <c r="P8" s="8" t="str">
        <f>IF(K8&gt;vd_lf,N8,M8)</f>
        <v>#10</v>
      </c>
      <c r="Q8" s="17">
        <f>K8*O8+O8*(G8+1)*makeup_ft</f>
        <v>599.0</v>
      </c>
      <c r="R8" s="8" t="inlineStr">
        <is>
          <t>#12</t>
        </is>
      </c>
      <c r="S8" s="8" t="inlineStr">
        <is>
          <t>#10</t>
        </is>
      </c>
      <c r="T8" s="8" t="str">
        <f>IF(K8&gt;vd_lf,S8,R8)</f>
        <v>#10</v>
      </c>
      <c r="U8" s="17">
        <f>K8+(G8+1)*makeup_ft</f>
        <v>299.5</v>
      </c>
      <c r="V8" s="18" t="n">
        <v>800</v>
      </c>
      <c r="W8" s="16" t="n">
        <v>1</v>
      </c>
      <c r="X8" s="16" t="n">
        <v>20</v>
      </c>
    </row>
    <row r="9">
      <c r="A9" s="8" t="inlineStr">
        <is>
          <t>LP1-7</t>
        </is>
      </c>
      <c r="B9" s="8" t="inlineStr">
        <is>
          <t>LP-1</t>
        </is>
      </c>
      <c r="C9" s="8" t="inlineStr">
        <is>
          <t>Lighting - break room (A) + lobby (B)</t>
        </is>
      </c>
      <c r="D9" s="8" t="inlineStr">
        <is>
          <t>L</t>
        </is>
      </c>
      <c r="E9" s="15" t="n">
        <v>88</v>
      </c>
      <c r="F9" s="15" t="n">
        <v>38</v>
      </c>
      <c r="G9" s="16" t="n">
        <v>16</v>
      </c>
      <c r="H9" s="17">
        <f>lt_sp</f>
        <v>10.0</v>
      </c>
      <c r="I9" s="17">
        <f>ABS(E9-panel_x)+ABS(F9-panel_y)+panel_rise</f>
        <v>56.0</v>
      </c>
      <c r="J9" s="17">
        <f>G9*H9</f>
        <v>160.0</v>
      </c>
      <c r="K9" s="17">
        <f>I9+J9</f>
        <v>216.0</v>
      </c>
      <c r="L9" s="8" t="inlineStr">
        <is>
          <t>3/4 in</t>
        </is>
      </c>
      <c r="M9" s="8" t="inlineStr">
        <is>
          <t>#12</t>
        </is>
      </c>
      <c r="N9" s="8" t="inlineStr">
        <is>
          <t>#10</t>
        </is>
      </c>
      <c r="O9" s="16" t="n">
        <v>2</v>
      </c>
      <c r="P9" s="8" t="str">
        <f>IF(K9&gt;vd_lf,N9,M9)</f>
        <v>#10</v>
      </c>
      <c r="Q9" s="17">
        <f>K9*O9+O9*(G9+1)*makeup_ft</f>
        <v>466.0</v>
      </c>
      <c r="R9" s="8" t="inlineStr">
        <is>
          <t>#12</t>
        </is>
      </c>
      <c r="S9" s="8" t="inlineStr">
        <is>
          <t>#10</t>
        </is>
      </c>
      <c r="T9" s="8" t="str">
        <f>IF(K9&gt;vd_lf,S9,R9)</f>
        <v>#10</v>
      </c>
      <c r="U9" s="17">
        <f>K9+(G9+1)*makeup_ft</f>
        <v>233.0</v>
      </c>
      <c r="V9" s="18" t="n">
        <v>440</v>
      </c>
      <c r="W9" s="16" t="n">
        <v>1</v>
      </c>
      <c r="X9" s="16" t="n">
        <v>20</v>
      </c>
    </row>
    <row r="10">
      <c r="A10" s="8" t="inlineStr">
        <is>
          <t>LP1-9</t>
        </is>
      </c>
      <c r="B10" s="8" t="inlineStr">
        <is>
          <t>LP-1</t>
        </is>
      </c>
      <c r="C10" s="8" t="inlineStr">
        <is>
          <t>Lighting - restrooms (C), support (D), exit/emergency (X)</t>
        </is>
      </c>
      <c r="D10" s="8" t="inlineStr">
        <is>
          <t>L</t>
        </is>
      </c>
      <c r="E10" s="15" t="n">
        <v>70</v>
      </c>
      <c r="F10" s="15" t="n">
        <v>20</v>
      </c>
      <c r="G10" s="16" t="n">
        <v>13</v>
      </c>
      <c r="H10" s="17">
        <f>lt_sp</f>
        <v>10.0</v>
      </c>
      <c r="I10" s="17">
        <f>ABS(E10-panel_x)+ABS(F10-panel_y)+panel_rise</f>
        <v>20.0</v>
      </c>
      <c r="J10" s="17">
        <f>G10*H10</f>
        <v>130.0</v>
      </c>
      <c r="K10" s="17">
        <f>I10+J10</f>
        <v>150.0</v>
      </c>
      <c r="L10" s="8" t="inlineStr">
        <is>
          <t>3/4 in</t>
        </is>
      </c>
      <c r="M10" s="8" t="inlineStr">
        <is>
          <t>#12</t>
        </is>
      </c>
      <c r="N10" s="8" t="inlineStr">
        <is>
          <t>#10</t>
        </is>
      </c>
      <c r="O10" s="16" t="n">
        <v>2</v>
      </c>
      <c r="P10" s="8" t="str">
        <f>IF(K10&gt;vd_lf,N10,M10)</f>
        <v>#10</v>
      </c>
      <c r="Q10" s="17">
        <f>K10*O10+O10*(G10+1)*makeup_ft</f>
        <v>328.0</v>
      </c>
      <c r="R10" s="8" t="inlineStr">
        <is>
          <t>#12</t>
        </is>
      </c>
      <c r="S10" s="8" t="inlineStr">
        <is>
          <t>#10</t>
        </is>
      </c>
      <c r="T10" s="8" t="str">
        <f>IF(K10&gt;vd_lf,S10,R10)</f>
        <v>#10</v>
      </c>
      <c r="U10" s="17">
        <f>K10+(G10+1)*makeup_ft</f>
        <v>164.0</v>
      </c>
      <c r="V10" s="18" t="n">
        <v>270</v>
      </c>
      <c r="W10" s="16" t="n">
        <v>1</v>
      </c>
      <c r="X10" s="16" t="n">
        <v>20</v>
      </c>
    </row>
    <row r="11">
      <c r="A11" s="8" t="inlineStr">
        <is>
          <t>LP1-2</t>
        </is>
      </c>
      <c r="B11" s="8" t="inlineStr">
        <is>
          <t>LP-1</t>
        </is>
      </c>
      <c r="C11" s="8" t="inlineStr">
        <is>
          <t>Receptacles - open office SW</t>
        </is>
      </c>
      <c r="D11" s="8" t="inlineStr">
        <is>
          <t>R</t>
        </is>
      </c>
      <c r="E11" s="15" t="n">
        <v>10</v>
      </c>
      <c r="F11" s="15" t="n">
        <v>12</v>
      </c>
      <c r="G11" s="16" t="n">
        <v>6</v>
      </c>
      <c r="H11" s="17">
        <f>rc_sp+rc_drop</f>
        <v>20.5</v>
      </c>
      <c r="I11" s="17">
        <f>ABS(E11-panel_x)+ABS(F11-panel_y)+panel_rise</f>
        <v>68.0</v>
      </c>
      <c r="J11" s="17">
        <f>G11*H11</f>
        <v>123.0</v>
      </c>
      <c r="K11" s="17">
        <f>I11+J11</f>
        <v>191.0</v>
      </c>
      <c r="L11" s="8" t="inlineStr">
        <is>
          <t>3/4 in</t>
        </is>
      </c>
      <c r="M11" s="8" t="inlineStr">
        <is>
          <t>#12</t>
        </is>
      </c>
      <c r="N11" s="8" t="inlineStr">
        <is>
          <t>#10</t>
        </is>
      </c>
      <c r="O11" s="16" t="n">
        <v>2</v>
      </c>
      <c r="P11" s="8" t="str">
        <f>IF(K11&gt;vd_lf,N11,M11)</f>
        <v>#10</v>
      </c>
      <c r="Q11" s="17">
        <f>K11*O11+O11*(G11+1)*makeup_ft</f>
        <v>396.0</v>
      </c>
      <c r="R11" s="8" t="inlineStr">
        <is>
          <t>#12</t>
        </is>
      </c>
      <c r="S11" s="8" t="inlineStr">
        <is>
          <t>#10</t>
        </is>
      </c>
      <c r="T11" s="8" t="str">
        <f>IF(K11&gt;vd_lf,S11,R11)</f>
        <v>#10</v>
      </c>
      <c r="U11" s="17">
        <f>K11+(G11+1)*makeup_ft</f>
        <v>198.0</v>
      </c>
      <c r="V11" s="18" t="n">
        <v>1080</v>
      </c>
      <c r="W11" s="16" t="n">
        <v>1</v>
      </c>
      <c r="X11" s="16" t="n">
        <v>20</v>
      </c>
    </row>
    <row r="12">
      <c r="A12" s="8" t="inlineStr">
        <is>
          <t>LP1-4</t>
        </is>
      </c>
      <c r="B12" s="8" t="inlineStr">
        <is>
          <t>LP-1</t>
        </is>
      </c>
      <c r="C12" s="8" t="inlineStr">
        <is>
          <t>Receptacles - open office NW</t>
        </is>
      </c>
      <c r="D12" s="8" t="inlineStr">
        <is>
          <t>R</t>
        </is>
      </c>
      <c r="E12" s="15" t="n">
        <v>10</v>
      </c>
      <c r="F12" s="15" t="n">
        <v>33</v>
      </c>
      <c r="G12" s="16" t="n">
        <v>6</v>
      </c>
      <c r="H12" s="17">
        <f>rc_sp+rc_drop</f>
        <v>20.5</v>
      </c>
      <c r="I12" s="17">
        <f>ABS(E12-panel_x)+ABS(F12-panel_y)+panel_rise</f>
        <v>89.0</v>
      </c>
      <c r="J12" s="17">
        <f>G12*H12</f>
        <v>123.0</v>
      </c>
      <c r="K12" s="17">
        <f>I12+J12</f>
        <v>212.0</v>
      </c>
      <c r="L12" s="8" t="inlineStr">
        <is>
          <t>3/4 in</t>
        </is>
      </c>
      <c r="M12" s="8" t="inlineStr">
        <is>
          <t>#12</t>
        </is>
      </c>
      <c r="N12" s="8" t="inlineStr">
        <is>
          <t>#10</t>
        </is>
      </c>
      <c r="O12" s="16" t="n">
        <v>2</v>
      </c>
      <c r="P12" s="8" t="str">
        <f>IF(K12&gt;vd_lf,N12,M12)</f>
        <v>#10</v>
      </c>
      <c r="Q12" s="17">
        <f>K12*O12+O12*(G12+1)*makeup_ft</f>
        <v>438.0</v>
      </c>
      <c r="R12" s="8" t="inlineStr">
        <is>
          <t>#12</t>
        </is>
      </c>
      <c r="S12" s="8" t="inlineStr">
        <is>
          <t>#10</t>
        </is>
      </c>
      <c r="T12" s="8" t="str">
        <f>IF(K12&gt;vd_lf,S12,R12)</f>
        <v>#10</v>
      </c>
      <c r="U12" s="17">
        <f>K12+(G12+1)*makeup_ft</f>
        <v>219.0</v>
      </c>
      <c r="V12" s="18" t="n">
        <v>1080</v>
      </c>
      <c r="W12" s="16" t="n">
        <v>1</v>
      </c>
      <c r="X12" s="16" t="n">
        <v>20</v>
      </c>
    </row>
    <row r="13">
      <c r="A13" s="8" t="inlineStr">
        <is>
          <t>LP1-6</t>
        </is>
      </c>
      <c r="B13" s="8" t="inlineStr">
        <is>
          <t>LP-1</t>
        </is>
      </c>
      <c r="C13" s="8" t="inlineStr">
        <is>
          <t>Receptacles - open office SE</t>
        </is>
      </c>
      <c r="D13" s="8" t="inlineStr">
        <is>
          <t>R</t>
        </is>
      </c>
      <c r="E13" s="15" t="n">
        <v>40</v>
      </c>
      <c r="F13" s="15" t="n">
        <v>12</v>
      </c>
      <c r="G13" s="16" t="n">
        <v>6</v>
      </c>
      <c r="H13" s="17">
        <f>rc_sp+rc_drop</f>
        <v>20.5</v>
      </c>
      <c r="I13" s="17">
        <f>ABS(E13-panel_x)+ABS(F13-panel_y)+panel_rise</f>
        <v>38.0</v>
      </c>
      <c r="J13" s="17">
        <f>G13*H13</f>
        <v>123.0</v>
      </c>
      <c r="K13" s="17">
        <f>I13+J13</f>
        <v>161.0</v>
      </c>
      <c r="L13" s="8" t="inlineStr">
        <is>
          <t>3/4 in</t>
        </is>
      </c>
      <c r="M13" s="8" t="inlineStr">
        <is>
          <t>#12</t>
        </is>
      </c>
      <c r="N13" s="8" t="inlineStr">
        <is>
          <t>#10</t>
        </is>
      </c>
      <c r="O13" s="16" t="n">
        <v>2</v>
      </c>
      <c r="P13" s="8" t="str">
        <f>IF(K13&gt;vd_lf,N13,M13)</f>
        <v>#10</v>
      </c>
      <c r="Q13" s="17">
        <f>K13*O13+O13*(G13+1)*makeup_ft</f>
        <v>336.0</v>
      </c>
      <c r="R13" s="8" t="inlineStr">
        <is>
          <t>#12</t>
        </is>
      </c>
      <c r="S13" s="8" t="inlineStr">
        <is>
          <t>#10</t>
        </is>
      </c>
      <c r="T13" s="8" t="str">
        <f>IF(K13&gt;vd_lf,S13,R13)</f>
        <v>#10</v>
      </c>
      <c r="U13" s="17">
        <f>K13+(G13+1)*makeup_ft</f>
        <v>168.0</v>
      </c>
      <c r="V13" s="18" t="n">
        <v>1080</v>
      </c>
      <c r="W13" s="16" t="n">
        <v>1</v>
      </c>
      <c r="X13" s="16" t="n">
        <v>20</v>
      </c>
    </row>
    <row r="14">
      <c r="A14" s="8" t="inlineStr">
        <is>
          <t>LP1-8</t>
        </is>
      </c>
      <c r="B14" s="8" t="inlineStr">
        <is>
          <t>LP-1</t>
        </is>
      </c>
      <c r="C14" s="8" t="inlineStr">
        <is>
          <t>Receptacles - open office NE</t>
        </is>
      </c>
      <c r="D14" s="8" t="inlineStr">
        <is>
          <t>R</t>
        </is>
      </c>
      <c r="E14" s="15" t="n">
        <v>40</v>
      </c>
      <c r="F14" s="15" t="n">
        <v>33</v>
      </c>
      <c r="G14" s="16" t="n">
        <v>6</v>
      </c>
      <c r="H14" s="17">
        <f>rc_sp+rc_drop</f>
        <v>20.5</v>
      </c>
      <c r="I14" s="17">
        <f>ABS(E14-panel_x)+ABS(F14-panel_y)+panel_rise</f>
        <v>59.0</v>
      </c>
      <c r="J14" s="17">
        <f>G14*H14</f>
        <v>123.0</v>
      </c>
      <c r="K14" s="17">
        <f>I14+J14</f>
        <v>182.0</v>
      </c>
      <c r="L14" s="8" t="inlineStr">
        <is>
          <t>3/4 in</t>
        </is>
      </c>
      <c r="M14" s="8" t="inlineStr">
        <is>
          <t>#12</t>
        </is>
      </c>
      <c r="N14" s="8" t="inlineStr">
        <is>
          <t>#10</t>
        </is>
      </c>
      <c r="O14" s="16" t="n">
        <v>2</v>
      </c>
      <c r="P14" s="8" t="str">
        <f>IF(K14&gt;vd_lf,N14,M14)</f>
        <v>#10</v>
      </c>
      <c r="Q14" s="17">
        <f>K14*O14+O14*(G14+1)*makeup_ft</f>
        <v>378.0</v>
      </c>
      <c r="R14" s="8" t="inlineStr">
        <is>
          <t>#12</t>
        </is>
      </c>
      <c r="S14" s="8" t="inlineStr">
        <is>
          <t>#10</t>
        </is>
      </c>
      <c r="T14" s="8" t="str">
        <f>IF(K14&gt;vd_lf,S14,R14)</f>
        <v>#10</v>
      </c>
      <c r="U14" s="17">
        <f>K14+(G14+1)*makeup_ft</f>
        <v>189.0</v>
      </c>
      <c r="V14" s="18" t="n">
        <v>1080</v>
      </c>
      <c r="W14" s="16" t="n">
        <v>1</v>
      </c>
      <c r="X14" s="16" t="n">
        <v>20</v>
      </c>
    </row>
    <row r="15">
      <c r="A15" s="8" t="inlineStr">
        <is>
          <t>LP1-10</t>
        </is>
      </c>
      <c r="B15" s="8" t="inlineStr">
        <is>
          <t>LP-1</t>
        </is>
      </c>
      <c r="C15" s="8" t="inlineStr">
        <is>
          <t>Receptacles - offices 101-102</t>
        </is>
      </c>
      <c r="D15" s="8" t="inlineStr">
        <is>
          <t>R</t>
        </is>
      </c>
      <c r="E15" s="15" t="n">
        <v>12</v>
      </c>
      <c r="F15" s="15" t="n">
        <v>52.5</v>
      </c>
      <c r="G15" s="16" t="n">
        <v>8</v>
      </c>
      <c r="H15" s="17">
        <f>rc_sp+rc_drop</f>
        <v>20.5</v>
      </c>
      <c r="I15" s="17">
        <f>ABS(E15-panel_x)+ABS(F15-panel_y)+panel_rise</f>
        <v>106.5</v>
      </c>
      <c r="J15" s="17">
        <f>G15*H15</f>
        <v>164.0</v>
      </c>
      <c r="K15" s="17">
        <f>I15+J15</f>
        <v>270.5</v>
      </c>
      <c r="L15" s="8" t="inlineStr">
        <is>
          <t>3/4 in</t>
        </is>
      </c>
      <c r="M15" s="8" t="inlineStr">
        <is>
          <t>#12</t>
        </is>
      </c>
      <c r="N15" s="8" t="inlineStr">
        <is>
          <t>#10</t>
        </is>
      </c>
      <c r="O15" s="16" t="n">
        <v>2</v>
      </c>
      <c r="P15" s="8" t="str">
        <f>IF(K15&gt;vd_lf,N15,M15)</f>
        <v>#10</v>
      </c>
      <c r="Q15" s="17">
        <f>K15*O15+O15*(G15+1)*makeup_ft</f>
        <v>559.0</v>
      </c>
      <c r="R15" s="8" t="inlineStr">
        <is>
          <t>#12</t>
        </is>
      </c>
      <c r="S15" s="8" t="inlineStr">
        <is>
          <t>#10</t>
        </is>
      </c>
      <c r="T15" s="8" t="str">
        <f>IF(K15&gt;vd_lf,S15,R15)</f>
        <v>#10</v>
      </c>
      <c r="U15" s="17">
        <f>K15+(G15+1)*makeup_ft</f>
        <v>279.5</v>
      </c>
      <c r="V15" s="18" t="n">
        <v>1440</v>
      </c>
      <c r="W15" s="16" t="n">
        <v>1</v>
      </c>
      <c r="X15" s="16" t="n">
        <v>20</v>
      </c>
    </row>
    <row r="16">
      <c r="A16" s="8" t="inlineStr">
        <is>
          <t>LP1-12</t>
        </is>
      </c>
      <c r="B16" s="8" t="inlineStr">
        <is>
          <t>LP-1</t>
        </is>
      </c>
      <c r="C16" s="8" t="inlineStr">
        <is>
          <t>Receptacles - offices 103-104</t>
        </is>
      </c>
      <c r="D16" s="8" t="inlineStr">
        <is>
          <t>R</t>
        </is>
      </c>
      <c r="E16" s="15" t="n">
        <v>36</v>
      </c>
      <c r="F16" s="15" t="n">
        <v>52.5</v>
      </c>
      <c r="G16" s="16" t="n">
        <v>8</v>
      </c>
      <c r="H16" s="17">
        <f>rc_sp+rc_drop</f>
        <v>20.5</v>
      </c>
      <c r="I16" s="17">
        <f>ABS(E16-panel_x)+ABS(F16-panel_y)+panel_rise</f>
        <v>82.5</v>
      </c>
      <c r="J16" s="17">
        <f>G16*H16</f>
        <v>164.0</v>
      </c>
      <c r="K16" s="17">
        <f>I16+J16</f>
        <v>246.5</v>
      </c>
      <c r="L16" s="8" t="inlineStr">
        <is>
          <t>3/4 in</t>
        </is>
      </c>
      <c r="M16" s="8" t="inlineStr">
        <is>
          <t>#12</t>
        </is>
      </c>
      <c r="N16" s="8" t="inlineStr">
        <is>
          <t>#10</t>
        </is>
      </c>
      <c r="O16" s="16" t="n">
        <v>2</v>
      </c>
      <c r="P16" s="8" t="str">
        <f>IF(K16&gt;vd_lf,N16,M16)</f>
        <v>#10</v>
      </c>
      <c r="Q16" s="17">
        <f>K16*O16+O16*(G16+1)*makeup_ft</f>
        <v>511.0</v>
      </c>
      <c r="R16" s="8" t="inlineStr">
        <is>
          <t>#12</t>
        </is>
      </c>
      <c r="S16" s="8" t="inlineStr">
        <is>
          <t>#10</t>
        </is>
      </c>
      <c r="T16" s="8" t="str">
        <f>IF(K16&gt;vd_lf,S16,R16)</f>
        <v>#10</v>
      </c>
      <c r="U16" s="17">
        <f>K16+(G16+1)*makeup_ft</f>
        <v>255.5</v>
      </c>
      <c r="V16" s="18" t="n">
        <v>1440</v>
      </c>
      <c r="W16" s="16" t="n">
        <v>1</v>
      </c>
      <c r="X16" s="16" t="n">
        <v>20</v>
      </c>
    </row>
    <row r="17">
      <c r="A17" s="8" t="inlineStr">
        <is>
          <t>LP1-14</t>
        </is>
      </c>
      <c r="B17" s="8" t="inlineStr">
        <is>
          <t>LP-1</t>
        </is>
      </c>
      <c r="C17" s="8" t="inlineStr">
        <is>
          <t>Receptacles - office 105 + conference</t>
        </is>
      </c>
      <c r="D17" s="8" t="inlineStr">
        <is>
          <t>R</t>
        </is>
      </c>
      <c r="E17" s="15" t="n">
        <v>64</v>
      </c>
      <c r="F17" s="15" t="n">
        <v>52.5</v>
      </c>
      <c r="G17" s="16" t="n">
        <v>8</v>
      </c>
      <c r="H17" s="17">
        <f>rc_sp+rc_drop</f>
        <v>20.5</v>
      </c>
      <c r="I17" s="17">
        <f>ABS(E17-panel_x)+ABS(F17-panel_y)+panel_rise</f>
        <v>54.5</v>
      </c>
      <c r="J17" s="17">
        <f>G17*H17</f>
        <v>164.0</v>
      </c>
      <c r="K17" s="17">
        <f>I17+J17</f>
        <v>218.5</v>
      </c>
      <c r="L17" s="8" t="inlineStr">
        <is>
          <t>3/4 in</t>
        </is>
      </c>
      <c r="M17" s="8" t="inlineStr">
        <is>
          <t>#12</t>
        </is>
      </c>
      <c r="N17" s="8" t="inlineStr">
        <is>
          <t>#10</t>
        </is>
      </c>
      <c r="O17" s="16" t="n">
        <v>2</v>
      </c>
      <c r="P17" s="8" t="str">
        <f>IF(K17&gt;vd_lf,N17,M17)</f>
        <v>#10</v>
      </c>
      <c r="Q17" s="17">
        <f>K17*O17+O17*(G17+1)*makeup_ft</f>
        <v>455.0</v>
      </c>
      <c r="R17" s="8" t="inlineStr">
        <is>
          <t>#12</t>
        </is>
      </c>
      <c r="S17" s="8" t="inlineStr">
        <is>
          <t>#10</t>
        </is>
      </c>
      <c r="T17" s="8" t="str">
        <f>IF(K17&gt;vd_lf,S17,R17)</f>
        <v>#10</v>
      </c>
      <c r="U17" s="17">
        <f>K17+(G17+1)*makeup_ft</f>
        <v>227.5</v>
      </c>
      <c r="V17" s="18" t="n">
        <v>1440</v>
      </c>
      <c r="W17" s="16" t="n">
        <v>1</v>
      </c>
      <c r="X17" s="16" t="n">
        <v>20</v>
      </c>
    </row>
    <row r="18">
      <c r="A18" s="8" t="inlineStr">
        <is>
          <t>LP1-16</t>
        </is>
      </c>
      <c r="B18" s="8" t="inlineStr">
        <is>
          <t>LP-1</t>
        </is>
      </c>
      <c r="C18" s="8" t="inlineStr">
        <is>
          <t>Receptacles - lobby</t>
        </is>
      </c>
      <c r="D18" s="8" t="inlineStr">
        <is>
          <t>R</t>
        </is>
      </c>
      <c r="E18" s="15" t="n">
        <v>90</v>
      </c>
      <c r="F18" s="15" t="n">
        <v>52.5</v>
      </c>
      <c r="G18" s="16" t="n">
        <v>4</v>
      </c>
      <c r="H18" s="17">
        <f>rc_sp+rc_drop</f>
        <v>20.5</v>
      </c>
      <c r="I18" s="17">
        <f>ABS(E18-panel_x)+ABS(F18-panel_y)+panel_rise</f>
        <v>72.5</v>
      </c>
      <c r="J18" s="17">
        <f>G18*H18</f>
        <v>82.0</v>
      </c>
      <c r="K18" s="17">
        <f>I18+J18</f>
        <v>154.5</v>
      </c>
      <c r="L18" s="8" t="inlineStr">
        <is>
          <t>3/4 in</t>
        </is>
      </c>
      <c r="M18" s="8" t="inlineStr">
        <is>
          <t>#12</t>
        </is>
      </c>
      <c r="N18" s="8" t="inlineStr">
        <is>
          <t>#10</t>
        </is>
      </c>
      <c r="O18" s="16" t="n">
        <v>2</v>
      </c>
      <c r="P18" s="8" t="str">
        <f>IF(K18&gt;vd_lf,N18,M18)</f>
        <v>#10</v>
      </c>
      <c r="Q18" s="17">
        <f>K18*O18+O18*(G18+1)*makeup_ft</f>
        <v>319.0</v>
      </c>
      <c r="R18" s="8" t="inlineStr">
        <is>
          <t>#12</t>
        </is>
      </c>
      <c r="S18" s="8" t="inlineStr">
        <is>
          <t>#10</t>
        </is>
      </c>
      <c r="T18" s="8" t="str">
        <f>IF(K18&gt;vd_lf,S18,R18)</f>
        <v>#10</v>
      </c>
      <c r="U18" s="17">
        <f>K18+(G18+1)*makeup_ft</f>
        <v>159.5</v>
      </c>
      <c r="V18" s="18" t="n">
        <v>720</v>
      </c>
      <c r="W18" s="16" t="n">
        <v>1</v>
      </c>
      <c r="X18" s="16" t="n">
        <v>20</v>
      </c>
    </row>
    <row r="19">
      <c r="A19" s="8" t="inlineStr">
        <is>
          <t>LP1-18</t>
        </is>
      </c>
      <c r="B19" s="8" t="inlineStr">
        <is>
          <t>LP-1</t>
        </is>
      </c>
      <c r="C19" s="8" t="inlineStr">
        <is>
          <t>Receptacles - break counter GFCI (1)</t>
        </is>
      </c>
      <c r="D19" s="8" t="inlineStr">
        <is>
          <t>R</t>
        </is>
      </c>
      <c r="E19" s="15" t="n">
        <v>84</v>
      </c>
      <c r="F19" s="15" t="n">
        <v>13</v>
      </c>
      <c r="G19" s="16" t="n">
        <v>3</v>
      </c>
      <c r="H19" s="17">
        <f>rc_sp+rc_drop</f>
        <v>20.5</v>
      </c>
      <c r="I19" s="17">
        <f>ABS(E19-panel_x)+ABS(F19-panel_y)+panel_rise</f>
        <v>27.0</v>
      </c>
      <c r="J19" s="17">
        <f>G19*H19</f>
        <v>61.5</v>
      </c>
      <c r="K19" s="17">
        <f>I19+J19</f>
        <v>88.5</v>
      </c>
      <c r="L19" s="8" t="inlineStr">
        <is>
          <t>3/4 in</t>
        </is>
      </c>
      <c r="M19" s="8" t="inlineStr">
        <is>
          <t>#12</t>
        </is>
      </c>
      <c r="N19" s="8" t="inlineStr">
        <is>
          <t>#10</t>
        </is>
      </c>
      <c r="O19" s="16" t="n">
        <v>2</v>
      </c>
      <c r="P19" s="8" t="str">
        <f>IF(K19&gt;vd_lf,N19,M19)</f>
        <v>#12</v>
      </c>
      <c r="Q19" s="17">
        <f>K19*O19+O19*(G19+1)*makeup_ft</f>
        <v>185.0</v>
      </c>
      <c r="R19" s="8" t="inlineStr">
        <is>
          <t>#12</t>
        </is>
      </c>
      <c r="S19" s="8" t="inlineStr">
        <is>
          <t>#10</t>
        </is>
      </c>
      <c r="T19" s="8" t="str">
        <f>IF(K19&gt;vd_lf,S19,R19)</f>
        <v>#12</v>
      </c>
      <c r="U19" s="17">
        <f>K19+(G19+1)*makeup_ft</f>
        <v>92.5</v>
      </c>
      <c r="V19" s="18" t="n">
        <v>540</v>
      </c>
      <c r="W19" s="16" t="n">
        <v>1</v>
      </c>
      <c r="X19" s="16" t="n">
        <v>20</v>
      </c>
    </row>
    <row r="20">
      <c r="A20" s="8" t="inlineStr">
        <is>
          <t>LP1-20</t>
        </is>
      </c>
      <c r="B20" s="8" t="inlineStr">
        <is>
          <t>LP-1</t>
        </is>
      </c>
      <c r="C20" s="8" t="inlineStr">
        <is>
          <t>Receptacles - break counter GFCI (2)</t>
        </is>
      </c>
      <c r="D20" s="8" t="inlineStr">
        <is>
          <t>R</t>
        </is>
      </c>
      <c r="E20" s="15" t="n">
        <v>96</v>
      </c>
      <c r="F20" s="15" t="n">
        <v>13</v>
      </c>
      <c r="G20" s="16" t="n">
        <v>3</v>
      </c>
      <c r="H20" s="17">
        <f>rc_sp+rc_drop</f>
        <v>20.5</v>
      </c>
      <c r="I20" s="17">
        <f>ABS(E20-panel_x)+ABS(F20-panel_y)+panel_rise</f>
        <v>39.0</v>
      </c>
      <c r="J20" s="17">
        <f>G20*H20</f>
        <v>61.5</v>
      </c>
      <c r="K20" s="17">
        <f>I20+J20</f>
        <v>100.5</v>
      </c>
      <c r="L20" s="8" t="inlineStr">
        <is>
          <t>3/4 in</t>
        </is>
      </c>
      <c r="M20" s="8" t="inlineStr">
        <is>
          <t>#12</t>
        </is>
      </c>
      <c r="N20" s="8" t="inlineStr">
        <is>
          <t>#10</t>
        </is>
      </c>
      <c r="O20" s="16" t="n">
        <v>2</v>
      </c>
      <c r="P20" s="8" t="str">
        <f>IF(K20&gt;vd_lf,N20,M20)</f>
        <v>#10</v>
      </c>
      <c r="Q20" s="17">
        <f>K20*O20+O20*(G20+1)*makeup_ft</f>
        <v>209.0</v>
      </c>
      <c r="R20" s="8" t="inlineStr">
        <is>
          <t>#12</t>
        </is>
      </c>
      <c r="S20" s="8" t="inlineStr">
        <is>
          <t>#10</t>
        </is>
      </c>
      <c r="T20" s="8" t="str">
        <f>IF(K20&gt;vd_lf,S20,R20)</f>
        <v>#10</v>
      </c>
      <c r="U20" s="17">
        <f>K20+(G20+1)*makeup_ft</f>
        <v>104.5</v>
      </c>
      <c r="V20" s="18" t="n">
        <v>540</v>
      </c>
      <c r="W20" s="16" t="n">
        <v>1</v>
      </c>
      <c r="X20" s="16" t="n">
        <v>20</v>
      </c>
    </row>
    <row r="21">
      <c r="A21" s="8" t="inlineStr">
        <is>
          <t>LP1-22</t>
        </is>
      </c>
      <c r="B21" s="8" t="inlineStr">
        <is>
          <t>LP-1</t>
        </is>
      </c>
      <c r="C21" s="8" t="inlineStr">
        <is>
          <t>Dedicated - refrigerator</t>
        </is>
      </c>
      <c r="D21" s="8" t="inlineStr">
        <is>
          <t>R</t>
        </is>
      </c>
      <c r="E21" s="15" t="n">
        <v>78</v>
      </c>
      <c r="F21" s="15" t="n">
        <v>20</v>
      </c>
      <c r="G21" s="16" t="n">
        <v>1</v>
      </c>
      <c r="H21" s="17">
        <f>rc_drop+dd_run</f>
        <v>18.5</v>
      </c>
      <c r="I21" s="17">
        <f>ABS(E21-panel_x)+ABS(F21-panel_y)+panel_rise</f>
        <v>28.0</v>
      </c>
      <c r="J21" s="17">
        <f>G21*H21</f>
        <v>18.5</v>
      </c>
      <c r="K21" s="17">
        <f>I21+J21</f>
        <v>46.5</v>
      </c>
      <c r="L21" s="8" t="inlineStr">
        <is>
          <t>3/4 in</t>
        </is>
      </c>
      <c r="M21" s="8" t="inlineStr">
        <is>
          <t>#12</t>
        </is>
      </c>
      <c r="N21" s="8" t="inlineStr">
        <is>
          <t>#10</t>
        </is>
      </c>
      <c r="O21" s="16" t="n">
        <v>2</v>
      </c>
      <c r="P21" s="8" t="str">
        <f>IF(K21&gt;vd_lf,N21,M21)</f>
        <v>#12</v>
      </c>
      <c r="Q21" s="17">
        <f>K21*O21+O21*(G21+1)*makeup_ft</f>
        <v>97.0</v>
      </c>
      <c r="R21" s="8" t="inlineStr">
        <is>
          <t>#12</t>
        </is>
      </c>
      <c r="S21" s="8" t="inlineStr">
        <is>
          <t>#10</t>
        </is>
      </c>
      <c r="T21" s="8" t="str">
        <f>IF(K21&gt;vd_lf,S21,R21)</f>
        <v>#12</v>
      </c>
      <c r="U21" s="17">
        <f>K21+(G21+1)*makeup_ft</f>
        <v>48.5</v>
      </c>
      <c r="V21" s="18" t="n">
        <v>800</v>
      </c>
      <c r="W21" s="16" t="n">
        <v>1</v>
      </c>
      <c r="X21" s="16" t="n">
        <v>20</v>
      </c>
    </row>
    <row r="22">
      <c r="A22" s="8" t="inlineStr">
        <is>
          <t>LP1-24</t>
        </is>
      </c>
      <c r="B22" s="8" t="inlineStr">
        <is>
          <t>LP-1</t>
        </is>
      </c>
      <c r="C22" s="8" t="inlineStr">
        <is>
          <t>Dedicated - microwave</t>
        </is>
      </c>
      <c r="D22" s="8" t="inlineStr">
        <is>
          <t>R</t>
        </is>
      </c>
      <c r="E22" s="15" t="n">
        <v>80</v>
      </c>
      <c r="F22" s="15" t="n">
        <v>13</v>
      </c>
      <c r="G22" s="16" t="n">
        <v>1</v>
      </c>
      <c r="H22" s="17">
        <f>rc_drop+dd_run</f>
        <v>18.5</v>
      </c>
      <c r="I22" s="17">
        <f>ABS(E22-panel_x)+ABS(F22-panel_y)+panel_rise</f>
        <v>23.0</v>
      </c>
      <c r="J22" s="17">
        <f>G22*H22</f>
        <v>18.5</v>
      </c>
      <c r="K22" s="17">
        <f>I22+J22</f>
        <v>41.5</v>
      </c>
      <c r="L22" s="8" t="inlineStr">
        <is>
          <t>3/4 in</t>
        </is>
      </c>
      <c r="M22" s="8" t="inlineStr">
        <is>
          <t>#12</t>
        </is>
      </c>
      <c r="N22" s="8" t="inlineStr">
        <is>
          <t>#10</t>
        </is>
      </c>
      <c r="O22" s="16" t="n">
        <v>2</v>
      </c>
      <c r="P22" s="8" t="str">
        <f>IF(K22&gt;vd_lf,N22,M22)</f>
        <v>#12</v>
      </c>
      <c r="Q22" s="17">
        <f>K22*O22+O22*(G22+1)*makeup_ft</f>
        <v>87.0</v>
      </c>
      <c r="R22" s="8" t="inlineStr">
        <is>
          <t>#12</t>
        </is>
      </c>
      <c r="S22" s="8" t="inlineStr">
        <is>
          <t>#10</t>
        </is>
      </c>
      <c r="T22" s="8" t="str">
        <f>IF(K22&gt;vd_lf,S22,R22)</f>
        <v>#12</v>
      </c>
      <c r="U22" s="17">
        <f>K22+(G22+1)*makeup_ft</f>
        <v>43.5</v>
      </c>
      <c r="V22" s="18" t="n">
        <v>1500</v>
      </c>
      <c r="W22" s="16" t="n">
        <v>1</v>
      </c>
      <c r="X22" s="16" t="n">
        <v>20</v>
      </c>
    </row>
    <row r="23">
      <c r="A23" s="8" t="inlineStr">
        <is>
          <t>LP1-26</t>
        </is>
      </c>
      <c r="B23" s="8" t="inlineStr">
        <is>
          <t>LP-1</t>
        </is>
      </c>
      <c r="C23" s="8" t="inlineStr">
        <is>
          <t>Receptacles - restrooms + janitor GFCI</t>
        </is>
      </c>
      <c r="D23" s="8" t="inlineStr">
        <is>
          <t>R</t>
        </is>
      </c>
      <c r="E23" s="15" t="n">
        <v>86</v>
      </c>
      <c r="F23" s="15" t="n">
        <v>6</v>
      </c>
      <c r="G23" s="16" t="n">
        <v>3</v>
      </c>
      <c r="H23" s="17">
        <f>rc_sp+rc_drop</f>
        <v>20.5</v>
      </c>
      <c r="I23" s="17">
        <f>ABS(E23-panel_x)+ABS(F23-panel_y)+panel_rise</f>
        <v>22.0</v>
      </c>
      <c r="J23" s="17">
        <f>G23*H23</f>
        <v>61.5</v>
      </c>
      <c r="K23" s="17">
        <f>I23+J23</f>
        <v>83.5</v>
      </c>
      <c r="L23" s="8" t="inlineStr">
        <is>
          <t>3/4 in</t>
        </is>
      </c>
      <c r="M23" s="8" t="inlineStr">
        <is>
          <t>#12</t>
        </is>
      </c>
      <c r="N23" s="8" t="inlineStr">
        <is>
          <t>#10</t>
        </is>
      </c>
      <c r="O23" s="16" t="n">
        <v>2</v>
      </c>
      <c r="P23" s="8" t="str">
        <f>IF(K23&gt;vd_lf,N23,M23)</f>
        <v>#12</v>
      </c>
      <c r="Q23" s="17">
        <f>K23*O23+O23*(G23+1)*makeup_ft</f>
        <v>175.0</v>
      </c>
      <c r="R23" s="8" t="inlineStr">
        <is>
          <t>#12</t>
        </is>
      </c>
      <c r="S23" s="8" t="inlineStr">
        <is>
          <t>#10</t>
        </is>
      </c>
      <c r="T23" s="8" t="str">
        <f>IF(K23&gt;vd_lf,S23,R23)</f>
        <v>#12</v>
      </c>
      <c r="U23" s="17">
        <f>K23+(G23+1)*makeup_ft</f>
        <v>87.5</v>
      </c>
      <c r="V23" s="18" t="n">
        <v>540</v>
      </c>
      <c r="W23" s="16" t="n">
        <v>1</v>
      </c>
      <c r="X23" s="16" t="n">
        <v>20</v>
      </c>
    </row>
    <row r="24">
      <c r="A24" s="8" t="inlineStr">
        <is>
          <t>LP1-28</t>
        </is>
      </c>
      <c r="B24" s="8" t="inlineStr">
        <is>
          <t>LP-1</t>
        </is>
      </c>
      <c r="C24" s="8" t="inlineStr">
        <is>
          <t>Receptacles - electrical / IT room</t>
        </is>
      </c>
      <c r="D24" s="8" t="inlineStr">
        <is>
          <t>R</t>
        </is>
      </c>
      <c r="E24" s="15" t="n">
        <v>68</v>
      </c>
      <c r="F24" s="15" t="n">
        <v>6</v>
      </c>
      <c r="G24" s="16" t="n">
        <v>2</v>
      </c>
      <c r="H24" s="17">
        <f>rc_sp+rc_drop</f>
        <v>20.5</v>
      </c>
      <c r="I24" s="17">
        <f>ABS(E24-panel_x)+ABS(F24-panel_y)+panel_rise</f>
        <v>4.0</v>
      </c>
      <c r="J24" s="17">
        <f>G24*H24</f>
        <v>41.0</v>
      </c>
      <c r="K24" s="17">
        <f>I24+J24</f>
        <v>45.0</v>
      </c>
      <c r="L24" s="8" t="inlineStr">
        <is>
          <t>3/4 in</t>
        </is>
      </c>
      <c r="M24" s="8" t="inlineStr">
        <is>
          <t>#12</t>
        </is>
      </c>
      <c r="N24" s="8" t="inlineStr">
        <is>
          <t>#10</t>
        </is>
      </c>
      <c r="O24" s="16" t="n">
        <v>2</v>
      </c>
      <c r="P24" s="8" t="str">
        <f>IF(K24&gt;vd_lf,N24,M24)</f>
        <v>#12</v>
      </c>
      <c r="Q24" s="17">
        <f>K24*O24+O24*(G24+1)*makeup_ft</f>
        <v>96.0</v>
      </c>
      <c r="R24" s="8" t="inlineStr">
        <is>
          <t>#12</t>
        </is>
      </c>
      <c r="S24" s="8" t="inlineStr">
        <is>
          <t>#10</t>
        </is>
      </c>
      <c r="T24" s="8" t="str">
        <f>IF(K24&gt;vd_lf,S24,R24)</f>
        <v>#12</v>
      </c>
      <c r="U24" s="17">
        <f>K24+(G24+1)*makeup_ft</f>
        <v>48.0</v>
      </c>
      <c r="V24" s="18" t="n">
        <v>360</v>
      </c>
      <c r="W24" s="16" t="n">
        <v>1</v>
      </c>
      <c r="X24" s="16" t="n">
        <v>20</v>
      </c>
    </row>
    <row r="25">
      <c r="A25" s="8" t="inlineStr">
        <is>
          <t>LP1-30</t>
        </is>
      </c>
      <c r="B25" s="8" t="inlineStr">
        <is>
          <t>LP-1</t>
        </is>
      </c>
      <c r="C25" s="8" t="inlineStr">
        <is>
          <t>Dedicated - IT rack</t>
        </is>
      </c>
      <c r="D25" s="8" t="inlineStr">
        <is>
          <t>R</t>
        </is>
      </c>
      <c r="E25" s="15" t="n">
        <v>70</v>
      </c>
      <c r="F25" s="15" t="n">
        <v>10</v>
      </c>
      <c r="G25" s="16" t="n">
        <v>1</v>
      </c>
      <c r="H25" s="17">
        <f>rc_drop+dd_run</f>
        <v>18.5</v>
      </c>
      <c r="I25" s="17">
        <f>ABS(E25-panel_x)+ABS(F25-panel_y)+panel_rise</f>
        <v>10.0</v>
      </c>
      <c r="J25" s="17">
        <f>G25*H25</f>
        <v>18.5</v>
      </c>
      <c r="K25" s="17">
        <f>I25+J25</f>
        <v>28.5</v>
      </c>
      <c r="L25" s="8" t="inlineStr">
        <is>
          <t>3/4 in</t>
        </is>
      </c>
      <c r="M25" s="8" t="inlineStr">
        <is>
          <t>#12</t>
        </is>
      </c>
      <c r="N25" s="8" t="inlineStr">
        <is>
          <t>#10</t>
        </is>
      </c>
      <c r="O25" s="16" t="n">
        <v>2</v>
      </c>
      <c r="P25" s="8" t="str">
        <f>IF(K25&gt;vd_lf,N25,M25)</f>
        <v>#12</v>
      </c>
      <c r="Q25" s="17">
        <f>K25*O25+O25*(G25+1)*makeup_ft</f>
        <v>61.0</v>
      </c>
      <c r="R25" s="8" t="inlineStr">
        <is>
          <t>#12</t>
        </is>
      </c>
      <c r="S25" s="8" t="inlineStr">
        <is>
          <t>#10</t>
        </is>
      </c>
      <c r="T25" s="8" t="str">
        <f>IF(K25&gt;vd_lf,S25,R25)</f>
        <v>#12</v>
      </c>
      <c r="U25" s="17">
        <f>K25+(G25+1)*makeup_ft</f>
        <v>30.5</v>
      </c>
      <c r="V25" s="18" t="n">
        <v>1920</v>
      </c>
      <c r="W25" s="16" t="n">
        <v>1</v>
      </c>
      <c r="X25" s="16" t="n">
        <v>20</v>
      </c>
    </row>
    <row r="26">
      <c r="A26" s="8" t="inlineStr">
        <is>
          <t>LP1-32</t>
        </is>
      </c>
      <c r="B26" s="8" t="inlineStr">
        <is>
          <t>LP-1</t>
        </is>
      </c>
      <c r="C26" s="8" t="inlineStr">
        <is>
          <t>Dedicated - copier</t>
        </is>
      </c>
      <c r="D26" s="8" t="inlineStr">
        <is>
          <t>R</t>
        </is>
      </c>
      <c r="E26" s="15" t="n">
        <v>60</v>
      </c>
      <c r="F26" s="15" t="n">
        <v>40</v>
      </c>
      <c r="G26" s="16" t="n">
        <v>1</v>
      </c>
      <c r="H26" s="17">
        <f>rc_drop+dd_run</f>
        <v>18.5</v>
      </c>
      <c r="I26" s="17">
        <f>ABS(E26-panel_x)+ABS(F26-panel_y)+panel_rise</f>
        <v>46.0</v>
      </c>
      <c r="J26" s="17">
        <f>G26*H26</f>
        <v>18.5</v>
      </c>
      <c r="K26" s="17">
        <f>I26+J26</f>
        <v>64.5</v>
      </c>
      <c r="L26" s="8" t="inlineStr">
        <is>
          <t>3/4 in</t>
        </is>
      </c>
      <c r="M26" s="8" t="inlineStr">
        <is>
          <t>#12</t>
        </is>
      </c>
      <c r="N26" s="8" t="inlineStr">
        <is>
          <t>#10</t>
        </is>
      </c>
      <c r="O26" s="16" t="n">
        <v>2</v>
      </c>
      <c r="P26" s="8" t="str">
        <f>IF(K26&gt;vd_lf,N26,M26)</f>
        <v>#12</v>
      </c>
      <c r="Q26" s="17">
        <f>K26*O26+O26*(G26+1)*makeup_ft</f>
        <v>133.0</v>
      </c>
      <c r="R26" s="8" t="inlineStr">
        <is>
          <t>#12</t>
        </is>
      </c>
      <c r="S26" s="8" t="inlineStr">
        <is>
          <t>#10</t>
        </is>
      </c>
      <c r="T26" s="8" t="str">
        <f>IF(K26&gt;vd_lf,S26,R26)</f>
        <v>#12</v>
      </c>
      <c r="U26" s="17">
        <f>K26+(G26+1)*makeup_ft</f>
        <v>66.5</v>
      </c>
      <c r="V26" s="18" t="n">
        <v>1500</v>
      </c>
      <c r="W26" s="16" t="n">
        <v>1</v>
      </c>
      <c r="X26" s="16" t="n">
        <v>20</v>
      </c>
    </row>
    <row r="27">
      <c r="A27" s="8" t="inlineStr">
        <is>
          <t>LP1-11</t>
        </is>
      </c>
      <c r="B27" s="8" t="inlineStr">
        <is>
          <t>LP-1</t>
        </is>
      </c>
      <c r="C27" s="8" t="inlineStr">
        <is>
          <t>Exhaust fans EF-1, EF-2 (restrooms)</t>
        </is>
      </c>
      <c r="D27" s="8" t="inlineStr">
        <is>
          <t>M</t>
        </is>
      </c>
      <c r="E27" s="15" t="n">
        <v>86</v>
      </c>
      <c r="F27" s="15" t="n">
        <v>6</v>
      </c>
      <c r="G27" s="16" t="n">
        <v>2</v>
      </c>
      <c r="H27" s="17">
        <f>ef_run</f>
        <v>8.0</v>
      </c>
      <c r="I27" s="17">
        <f>ABS(E27-panel_x)+ABS(F27-panel_y)+panel_rise</f>
        <v>22.0</v>
      </c>
      <c r="J27" s="17">
        <f>G27*H27</f>
        <v>16.0</v>
      </c>
      <c r="K27" s="17">
        <f>I27+J27</f>
        <v>38.0</v>
      </c>
      <c r="L27" s="8" t="inlineStr">
        <is>
          <t>3/4 in</t>
        </is>
      </c>
      <c r="M27" s="8" t="inlineStr">
        <is>
          <t>#12</t>
        </is>
      </c>
      <c r="N27" s="8" t="inlineStr">
        <is>
          <t>#10</t>
        </is>
      </c>
      <c r="O27" s="16" t="n">
        <v>2</v>
      </c>
      <c r="P27" s="8" t="str">
        <f>IF(K27&gt;vd_lf,N27,M27)</f>
        <v>#12</v>
      </c>
      <c r="Q27" s="17">
        <f>K27*O27+O27*(G27+1)*makeup_ft</f>
        <v>82.0</v>
      </c>
      <c r="R27" s="8" t="inlineStr">
        <is>
          <t>#12</t>
        </is>
      </c>
      <c r="S27" s="8" t="inlineStr">
        <is>
          <t>#10</t>
        </is>
      </c>
      <c r="T27" s="8" t="str">
        <f>IF(K27&gt;vd_lf,S27,R27)</f>
        <v>#12</v>
      </c>
      <c r="U27" s="17">
        <f>K27+(G27+1)*makeup_ft</f>
        <v>41.0</v>
      </c>
      <c r="V27" s="18" t="n">
        <v>200</v>
      </c>
      <c r="W27" s="16" t="n">
        <v>1</v>
      </c>
      <c r="X27" s="16" t="n">
        <v>20</v>
      </c>
    </row>
    <row r="28">
      <c r="A28" s="8" t="inlineStr">
        <is>
          <t>MDP-1</t>
        </is>
      </c>
      <c r="B28" s="8" t="inlineStr">
        <is>
          <t>MDP</t>
        </is>
      </c>
      <c r="C28" s="8" t="inlineStr">
        <is>
          <t>RTU-1 7.5 ton (roof), 3-ph</t>
        </is>
      </c>
      <c r="D28" s="8" t="inlineStr">
        <is>
          <t>E</t>
        </is>
      </c>
      <c r="E28" s="15" t="n">
        <v>30</v>
      </c>
      <c r="F28" s="15" t="n">
        <v>30</v>
      </c>
      <c r="G28" s="16" t="n">
        <v>1</v>
      </c>
      <c r="H28" s="17">
        <f>rtu_rise</f>
        <v>10.0</v>
      </c>
      <c r="I28" s="17">
        <f>ABS(E28-panel_x)+ABS(F28-panel_y)+panel_rise</f>
        <v>66.0</v>
      </c>
      <c r="J28" s="17">
        <f>G28*H28</f>
        <v>10.0</v>
      </c>
      <c r="K28" s="17">
        <f>I28+J28</f>
        <v>76.0</v>
      </c>
      <c r="L28" s="8" t="inlineStr">
        <is>
          <t>1 in</t>
        </is>
      </c>
      <c r="M28" s="8" t="inlineStr">
        <is>
          <t>#8</t>
        </is>
      </c>
      <c r="N28" s="8" t="inlineStr">
        <is>
          <t>#8</t>
        </is>
      </c>
      <c r="O28" s="16" t="n">
        <v>3</v>
      </c>
      <c r="P28" s="8" t="str">
        <f>IF(K28&gt;vd_lf,N28,M28)</f>
        <v>#8</v>
      </c>
      <c r="Q28" s="17">
        <f>K28*O28+O28*(G28+1)*makeup_ft</f>
        <v>234.0</v>
      </c>
      <c r="R28" s="8" t="inlineStr">
        <is>
          <t>#10</t>
        </is>
      </c>
      <c r="S28" s="8" t="inlineStr">
        <is>
          <t>#10</t>
        </is>
      </c>
      <c r="T28" s="8" t="str">
        <f>IF(K28&gt;vd_lf,S28,R28)</f>
        <v>#10</v>
      </c>
      <c r="U28" s="17">
        <f>K28+(G28+1)*makeup_ft</f>
        <v>78.0</v>
      </c>
      <c r="V28" s="18" t="n">
        <v>13700</v>
      </c>
      <c r="W28" s="16" t="n">
        <v>3</v>
      </c>
      <c r="X28" s="16" t="n">
        <v>50</v>
      </c>
    </row>
    <row r="29">
      <c r="A29" s="8" t="inlineStr">
        <is>
          <t>MDP-4</t>
        </is>
      </c>
      <c r="B29" s="8" t="inlineStr">
        <is>
          <t>MDP</t>
        </is>
      </c>
      <c r="C29" s="8" t="inlineStr">
        <is>
          <t>RTU-2 7.5 ton (roof), 3-ph</t>
        </is>
      </c>
      <c r="D29" s="8" t="inlineStr">
        <is>
          <t>E</t>
        </is>
      </c>
      <c r="E29" s="15" t="n">
        <v>80</v>
      </c>
      <c r="F29" s="15" t="n">
        <v>30</v>
      </c>
      <c r="G29" s="16" t="n">
        <v>1</v>
      </c>
      <c r="H29" s="17">
        <f>rtu_rise</f>
        <v>10.0</v>
      </c>
      <c r="I29" s="17">
        <f>ABS(E29-panel_x)+ABS(F29-panel_y)+panel_rise</f>
        <v>40.0</v>
      </c>
      <c r="J29" s="17">
        <f>G29*H29</f>
        <v>10.0</v>
      </c>
      <c r="K29" s="17">
        <f>I29+J29</f>
        <v>50.0</v>
      </c>
      <c r="L29" s="8" t="inlineStr">
        <is>
          <t>1 in</t>
        </is>
      </c>
      <c r="M29" s="8" t="inlineStr">
        <is>
          <t>#8</t>
        </is>
      </c>
      <c r="N29" s="8" t="inlineStr">
        <is>
          <t>#8</t>
        </is>
      </c>
      <c r="O29" s="16" t="n">
        <v>3</v>
      </c>
      <c r="P29" s="8" t="str">
        <f>IF(K29&gt;vd_lf,N29,M29)</f>
        <v>#8</v>
      </c>
      <c r="Q29" s="17">
        <f>K29*O29+O29*(G29+1)*makeup_ft</f>
        <v>156.0</v>
      </c>
      <c r="R29" s="8" t="inlineStr">
        <is>
          <t>#10</t>
        </is>
      </c>
      <c r="S29" s="8" t="inlineStr">
        <is>
          <t>#10</t>
        </is>
      </c>
      <c r="T29" s="8" t="str">
        <f>IF(K29&gt;vd_lf,S29,R29)</f>
        <v>#10</v>
      </c>
      <c r="U29" s="17">
        <f>K29+(G29+1)*makeup_ft</f>
        <v>52.0</v>
      </c>
      <c r="V29" s="18" t="n">
        <v>13700</v>
      </c>
      <c r="W29" s="16" t="n">
        <v>3</v>
      </c>
      <c r="X29" s="16" t="n">
        <v>50</v>
      </c>
    </row>
    <row r="30">
      <c r="A30" s="8" t="inlineStr">
        <is>
          <t>MDP-7</t>
        </is>
      </c>
      <c r="B30" s="8" t="inlineStr">
        <is>
          <t>MDP</t>
        </is>
      </c>
      <c r="C30" s="8" t="inlineStr">
        <is>
          <t>WH-1 electric water heater 4.5 kW, 208 V 1-ph</t>
        </is>
      </c>
      <c r="D30" s="8" t="inlineStr">
        <is>
          <t>E</t>
        </is>
      </c>
      <c r="E30" s="15" t="n">
        <v>73</v>
      </c>
      <c r="F30" s="15" t="n">
        <v>10</v>
      </c>
      <c r="G30" s="16" t="n">
        <v>1</v>
      </c>
      <c r="H30" s="17">
        <f>wh_drop</f>
        <v>6.0</v>
      </c>
      <c r="I30" s="17">
        <f>ABS(E30-panel_x)+ABS(F30-panel_y)+panel_rise</f>
        <v>13.0</v>
      </c>
      <c r="J30" s="17">
        <f>G30*H30</f>
        <v>6.0</v>
      </c>
      <c r="K30" s="17">
        <f>I30+J30</f>
        <v>19.0</v>
      </c>
      <c r="L30" s="8" t="inlineStr">
        <is>
          <t>3/4 in</t>
        </is>
      </c>
      <c r="M30" s="8" t="inlineStr">
        <is>
          <t>#10</t>
        </is>
      </c>
      <c r="N30" s="8" t="inlineStr">
        <is>
          <t>#10</t>
        </is>
      </c>
      <c r="O30" s="16" t="n">
        <v>2</v>
      </c>
      <c r="P30" s="8" t="str">
        <f>IF(K30&gt;vd_lf,N30,M30)</f>
        <v>#10</v>
      </c>
      <c r="Q30" s="17">
        <f>K30*O30+O30*(G30+1)*makeup_ft</f>
        <v>42.0</v>
      </c>
      <c r="R30" s="8" t="inlineStr">
        <is>
          <t>#10</t>
        </is>
      </c>
      <c r="S30" s="8" t="inlineStr">
        <is>
          <t>#10</t>
        </is>
      </c>
      <c r="T30" s="8" t="str">
        <f>IF(K30&gt;vd_lf,S30,R30)</f>
        <v>#10</v>
      </c>
      <c r="U30" s="17">
        <f>K30+(G30+1)*makeup_ft</f>
        <v>21.0</v>
      </c>
      <c r="V30" s="18" t="n">
        <v>4500</v>
      </c>
      <c r="W30" s="16" t="n">
        <v>2</v>
      </c>
      <c r="X30" s="16" t="n">
        <v>30</v>
      </c>
    </row>
    <row r="31">
      <c r="A31" s="19" t="inlineStr">
        <is>
          <t>Totals</t>
        </is>
      </c>
      <c r="G31" s="20">
        <f>SUM(G6:G30)</f>
        <v>166.0</v>
      </c>
      <c r="I31" s="21">
        <f>SUM(I6:I30)</f>
        <v>1178.5</v>
      </c>
      <c r="J31" s="21">
        <f>SUM(J6:J30)</f>
        <v>2347.5</v>
      </c>
      <c r="K31" s="21">
        <f>SUM(K6:K30)</f>
        <v>3526.0</v>
      </c>
      <c r="Q31" s="21">
        <f>SUM(Q6:Q30)</f>
        <v>7564.0</v>
      </c>
      <c r="U31" s="21">
        <f>SUM(U6:U30)</f>
        <v>3717.0</v>
      </c>
      <c r="V31" s="22">
        <f>SUM(V6:V30)</f>
        <v>52470.0</v>
      </c>
    </row>
  </sheetData>
  <mergeCells count="2">
    <mergeCell ref="A3:X3"/>
    <mergeCell ref="A4:X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2" customWidth="1" min="5" max="5"/>
    <col width="7" customWidth="1" min="6" max="6"/>
    <col width="8" customWidth="1" min="7" max="7"/>
    <col width="13" customWidth="1" min="8" max="8"/>
    <col width="56" customWidth="1" min="9" max="9"/>
    <col width="36" customWidth="1" min="10" max="10"/>
  </cols>
  <sheetData>
    <row r="1">
      <c r="A1" s="1" t="inlineStr">
        <is>
          <t>F&amp;K Estimatings</t>
        </is>
      </c>
    </row>
    <row r="2">
      <c r="A2" s="2" t="inlineStr">
        <is>
          <t>Electrical Takeoff Sample — Quantity Takeoff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3" t="inlineStr">
        <is>
          <t>Qty column holds live formulas that reference the named assumptions on 'Cover &amp; Basis' (and the schedule sheets). Column I shows the same formula in readable form.</t>
        </is>
      </c>
    </row>
    <row r="5" ht="26" customHeight="1">
      <c r="A5" s="7" t="inlineStr">
        <is>
          <t>Item</t>
        </is>
      </c>
      <c r="B5" s="7" t="inlineStr">
        <is>
          <t>CSI</t>
        </is>
      </c>
      <c r="C5" s="7" t="inlineStr">
        <is>
          <t>Group</t>
        </is>
      </c>
      <c r="D5" s="7" t="inlineStr">
        <is>
          <t>Description</t>
        </is>
      </c>
      <c r="E5" s="7" t="inlineStr">
        <is>
          <t>Qty</t>
        </is>
      </c>
      <c r="F5" s="7" t="inlineStr">
        <is>
          <t>Unit</t>
        </is>
      </c>
      <c r="G5" s="7" t="inlineStr">
        <is>
          <t>Waste %</t>
        </is>
      </c>
      <c r="H5" s="7" t="inlineStr">
        <is>
          <t>Qty incl. waste</t>
        </is>
      </c>
      <c r="I5" s="7" t="inlineStr">
        <is>
          <t>Formula / basis</t>
        </is>
      </c>
      <c r="J5" s="7" t="inlineStr">
        <is>
          <t>Notes</t>
        </is>
      </c>
    </row>
    <row r="6">
      <c r="A6" s="8" t="n">
        <v>1</v>
      </c>
      <c r="B6" s="8" t="inlineStr">
        <is>
          <t>26 24 16</t>
        </is>
      </c>
      <c r="C6" s="8" t="inlineStr">
        <is>
          <t>Distribution</t>
        </is>
      </c>
      <c r="D6" s="11" t="inlineStr">
        <is>
          <t>Panelboard MDP 400 A MCB, 208Y/120 V 3-ph 4-W, 30 ckt (incl. breakers)</t>
        </is>
      </c>
      <c r="E6" s="24">
        <f>1</f>
        <v>1.0</v>
      </c>
      <c r="F6" s="8" t="inlineStr">
        <is>
          <t>EA</t>
        </is>
      </c>
      <c r="G6" s="13" t="n">
        <v>0</v>
      </c>
      <c r="H6" s="25">
        <f>E6*(1+G6)</f>
        <v>1.0</v>
      </c>
      <c r="I6" s="26" t="inlineStr">
        <is>
          <t>1 (counted / stated)</t>
        </is>
      </c>
      <c r="J6" s="27" t="inlineStr"/>
    </row>
    <row r="7">
      <c r="A7" s="8" t="n">
        <v>2</v>
      </c>
      <c r="B7" s="8" t="inlineStr">
        <is>
          <t>26 24 16</t>
        </is>
      </c>
      <c r="C7" s="8" t="inlineStr">
        <is>
          <t>Distribution</t>
        </is>
      </c>
      <c r="D7" s="11" t="inlineStr">
        <is>
          <t>Panelboard LP-1 225 A MLO, 42 ckt (incl. branch breakers)</t>
        </is>
      </c>
      <c r="E7" s="24">
        <f>1</f>
        <v>1.0</v>
      </c>
      <c r="F7" s="8" t="inlineStr">
        <is>
          <t>EA</t>
        </is>
      </c>
      <c r="G7" s="13" t="n">
        <v>0</v>
      </c>
      <c r="H7" s="25">
        <f>E7*(1+G7)</f>
        <v>1.0</v>
      </c>
      <c r="I7" s="26" t="inlineStr">
        <is>
          <t>1 (counted / stated)</t>
        </is>
      </c>
      <c r="J7" s="27" t="inlineStr"/>
    </row>
    <row r="8">
      <c r="A8" s="8" t="n">
        <v>3</v>
      </c>
      <c r="B8" s="8" t="inlineStr">
        <is>
          <t>26 05 33</t>
        </is>
      </c>
      <c r="C8" s="8" t="inlineStr">
        <is>
          <t>Distribution</t>
        </is>
      </c>
      <c r="D8" s="11" t="inlineStr">
        <is>
          <t>Feeder MDP to LP-1: 2-1/2" EMT</t>
        </is>
      </c>
      <c r="E8" s="24">
        <f>fdr_len</f>
        <v>15.0</v>
      </c>
      <c r="F8" s="8" t="inlineStr">
        <is>
          <t>LF</t>
        </is>
      </c>
      <c r="G8" s="13" t="n">
        <v>0.05</v>
      </c>
      <c r="H8" s="25">
        <f>E8*(1+G8)</f>
        <v>15.75</v>
      </c>
      <c r="I8" s="26" t="inlineStr">
        <is>
          <t>fdr_len</t>
        </is>
      </c>
      <c r="J8" s="27" t="inlineStr"/>
    </row>
    <row r="9">
      <c r="A9" s="8" t="n">
        <v>4</v>
      </c>
      <c r="B9" s="8" t="inlineStr">
        <is>
          <t>26 05 19</t>
        </is>
      </c>
      <c r="C9" s="8" t="inlineStr">
        <is>
          <t>Distribution</t>
        </is>
      </c>
      <c r="D9" s="11" t="inlineStr">
        <is>
          <t>Feeder: 4 x 4/0 THHN Cu (3 phase + full neutral)</t>
        </is>
      </c>
      <c r="E9" s="24">
        <f>4*(fdr_len+2*fdr_term)</f>
        <v>84.0</v>
      </c>
      <c r="F9" s="8" t="inlineStr">
        <is>
          <t>LF</t>
        </is>
      </c>
      <c r="G9" s="13" t="n">
        <v>0.1</v>
      </c>
      <c r="H9" s="25">
        <f>E9*(1+G9)</f>
        <v>92.4</v>
      </c>
      <c r="I9" s="26" t="inlineStr">
        <is>
          <t>4 × (fdr_len+2 × fdr_term)</t>
        </is>
      </c>
      <c r="J9" s="27" t="inlineStr">
        <is>
          <t>225 A at 75 C</t>
        </is>
      </c>
    </row>
    <row r="10">
      <c r="A10" s="8" t="n">
        <v>5</v>
      </c>
      <c r="B10" s="8" t="inlineStr">
        <is>
          <t>26 05 19</t>
        </is>
      </c>
      <c r="C10" s="8" t="inlineStr">
        <is>
          <t>Distribution</t>
        </is>
      </c>
      <c r="D10" s="11" t="inlineStr">
        <is>
          <t>Feeder: 1 x #4 THHN Cu equipment ground</t>
        </is>
      </c>
      <c r="E10" s="24">
        <f>fdr_len+2*fdr_term</f>
        <v>21.0</v>
      </c>
      <c r="F10" s="8" t="inlineStr">
        <is>
          <t>LF</t>
        </is>
      </c>
      <c r="G10" s="13" t="n">
        <v>0.1</v>
      </c>
      <c r="H10" s="25">
        <f>E10*(1+G10)</f>
        <v>23.1</v>
      </c>
      <c r="I10" s="26" t="inlineStr">
        <is>
          <t>fdr_len+2 × fdr_term</t>
        </is>
      </c>
      <c r="J10" s="27" t="inlineStr"/>
    </row>
    <row r="11">
      <c r="A11" s="8" t="n">
        <v>6</v>
      </c>
      <c r="B11" s="8" t="inlineStr">
        <is>
          <t>26 28 16</t>
        </is>
      </c>
      <c r="C11" s="8" t="inlineStr">
        <is>
          <t>Distribution</t>
        </is>
      </c>
      <c r="D11" s="11" t="inlineStr">
        <is>
          <t>Disconnect 60 A 3-pole NEMA 3R (RTUs)</t>
        </is>
      </c>
      <c r="E11" s="24">
        <f>2</f>
        <v>2.0</v>
      </c>
      <c r="F11" s="8" t="inlineStr">
        <is>
          <t>EA</t>
        </is>
      </c>
      <c r="G11" s="13" t="n">
        <v>0</v>
      </c>
      <c r="H11" s="25">
        <f>E11*(1+G11)</f>
        <v>2.0</v>
      </c>
      <c r="I11" s="26" t="inlineStr">
        <is>
          <t>2 (counted / stated)</t>
        </is>
      </c>
      <c r="J11" s="27" t="inlineStr"/>
    </row>
    <row r="12">
      <c r="A12" s="8" t="n">
        <v>7</v>
      </c>
      <c r="B12" s="8" t="inlineStr">
        <is>
          <t>26 28 16</t>
        </is>
      </c>
      <c r="C12" s="8" t="inlineStr">
        <is>
          <t>Distribution</t>
        </is>
      </c>
      <c r="D12" s="11" t="inlineStr">
        <is>
          <t>Disconnect 30 A 2-pole (WH-1)</t>
        </is>
      </c>
      <c r="E12" s="24">
        <f>1</f>
        <v>1.0</v>
      </c>
      <c r="F12" s="8" t="inlineStr">
        <is>
          <t>EA</t>
        </is>
      </c>
      <c r="G12" s="13" t="n">
        <v>0</v>
      </c>
      <c r="H12" s="25">
        <f>E12*(1+G12)</f>
        <v>1.0</v>
      </c>
      <c r="I12" s="26" t="inlineStr">
        <is>
          <t>1 (counted / stated)</t>
        </is>
      </c>
      <c r="J12" s="27" t="inlineStr"/>
    </row>
    <row r="13">
      <c r="A13" s="8" t="n">
        <v>8</v>
      </c>
      <c r="B13" s="8" t="inlineStr">
        <is>
          <t>26 24 16</t>
        </is>
      </c>
      <c r="C13" s="8" t="inlineStr">
        <is>
          <t>Distribution</t>
        </is>
      </c>
      <c r="D13" s="11" t="inlineStr">
        <is>
          <t>Connected load on LP-1 (check)</t>
        </is>
      </c>
      <c r="E13" s="24">
        <f>SUMIF('Circuit Schedule'!$B$6:$B$30,"LP-1",'Circuit Schedule'!$V$6:$V$30)</f>
        <v>20570.0</v>
      </c>
      <c r="F13" s="8" t="inlineStr">
        <is>
          <t>VA</t>
        </is>
      </c>
      <c r="G13" s="13" t="n">
        <v>0</v>
      </c>
      <c r="H13" s="25">
        <f>E13*(1+G13)</f>
        <v>20570.0</v>
      </c>
      <c r="I13" s="26" t="inlineStr">
        <is>
          <t>Σ[Circuit Schedule: Load VA where Panel = "LP-1"]</t>
        </is>
      </c>
      <c r="J13" s="27" t="inlineStr"/>
    </row>
    <row r="14">
      <c r="A14" s="8" t="n">
        <v>9</v>
      </c>
      <c r="B14" s="8" t="inlineStr">
        <is>
          <t>26 24 16</t>
        </is>
      </c>
      <c r="C14" s="8" t="inlineStr">
        <is>
          <t>Distribution</t>
        </is>
      </c>
      <c r="D14" s="11" t="inlineStr">
        <is>
          <t>Connected load on MDP branch equipment (check)</t>
        </is>
      </c>
      <c r="E14" s="24">
        <f>SUMIF('Circuit Schedule'!$B$6:$B$30,"MDP",'Circuit Schedule'!$V$6:$V$30)</f>
        <v>31900.0</v>
      </c>
      <c r="F14" s="8" t="inlineStr">
        <is>
          <t>VA</t>
        </is>
      </c>
      <c r="G14" s="13" t="n">
        <v>0</v>
      </c>
      <c r="H14" s="25">
        <f>E14*(1+G14)</f>
        <v>31900.0</v>
      </c>
      <c r="I14" s="26" t="inlineStr">
        <is>
          <t>Σ[Circuit Schedule: Load VA where Panel = "MDP"]</t>
        </is>
      </c>
      <c r="J14" s="27" t="inlineStr"/>
    </row>
    <row r="15">
      <c r="A15" s="8" t="n">
        <v>10</v>
      </c>
      <c r="B15" s="8" t="inlineStr">
        <is>
          <t>26 05 33</t>
        </is>
      </c>
      <c r="C15" s="8" t="inlineStr">
        <is>
          <t>Raceway</t>
        </is>
      </c>
      <c r="D15" s="11" t="inlineStr">
        <is>
          <t>EMT 3/4" (branch circuits)</t>
        </is>
      </c>
      <c r="E15" s="24">
        <f>SUMIF('Circuit Schedule'!$L$6:$L$30,"3/4 in",'Circuit Schedule'!$K$6:$K$30)</f>
        <v>3400.0</v>
      </c>
      <c r="F15" s="8" t="inlineStr">
        <is>
          <t>LF</t>
        </is>
      </c>
      <c r="G15" s="13" t="n">
        <v>0.05</v>
      </c>
      <c r="H15" s="25">
        <f>E15*(1+G15)</f>
        <v>3570.0</v>
      </c>
      <c r="I15" s="26" t="inlineStr">
        <is>
          <t>Σ[Circuit Schedule: Conduit LF where Conduit = "3/4 in"]</t>
        </is>
      </c>
      <c r="J15" s="27" t="inlineStr"/>
    </row>
    <row r="16">
      <c r="A16" s="8" t="n">
        <v>11</v>
      </c>
      <c r="B16" s="8" t="inlineStr">
        <is>
          <t>26 05 33</t>
        </is>
      </c>
      <c r="C16" s="8" t="inlineStr">
        <is>
          <t>Raceway</t>
        </is>
      </c>
      <c r="D16" s="11" t="inlineStr">
        <is>
          <t>EMT 1" (RTU circuits)</t>
        </is>
      </c>
      <c r="E16" s="24">
        <f>SUMIF('Circuit Schedule'!$L$6:$L$30,"1 in",'Circuit Schedule'!$K$6:$K$30)</f>
        <v>126.0</v>
      </c>
      <c r="F16" s="8" t="inlineStr">
        <is>
          <t>LF</t>
        </is>
      </c>
      <c r="G16" s="13" t="n">
        <v>0.05</v>
      </c>
      <c r="H16" s="25">
        <f>E16*(1+G16)</f>
        <v>132.3</v>
      </c>
      <c r="I16" s="26" t="inlineStr">
        <is>
          <t>Σ[Circuit Schedule: Conduit LF where Conduit = "1 in"]</t>
        </is>
      </c>
      <c r="J16" s="27" t="inlineStr"/>
    </row>
    <row r="17">
      <c r="A17" s="8" t="n">
        <v>12</v>
      </c>
      <c r="B17" s="8" t="inlineStr">
        <is>
          <t>26 05 33</t>
        </is>
      </c>
      <c r="C17" s="8" t="inlineStr">
        <is>
          <t>Raceway</t>
        </is>
      </c>
      <c r="D17" s="11" t="inlineStr">
        <is>
          <t>EMT couplings (1 per 10' stick)</t>
        </is>
      </c>
      <c r="E17" s="24">
        <f>ROUNDUP((emt_34_w+emt_1_w)/10,0)</f>
        <v>371.0</v>
      </c>
      <c r="F17" s="8" t="inlineStr">
        <is>
          <t>EA</t>
        </is>
      </c>
      <c r="G17" s="13" t="n">
        <v>0</v>
      </c>
      <c r="H17" s="25">
        <f>E17*(1+G17)</f>
        <v>371.0</v>
      </c>
      <c r="I17" s="26" t="inlineStr">
        <is>
          <t>ROUNDUP((emt_34_w+emt_1_w)/10,0)</t>
        </is>
      </c>
      <c r="J17" s="27" t="inlineStr">
        <is>
          <t>Labor carried in conduit unit</t>
        </is>
      </c>
    </row>
    <row r="18">
      <c r="A18" s="8" t="n">
        <v>13</v>
      </c>
      <c r="B18" s="8" t="inlineStr">
        <is>
          <t>26 05 33</t>
        </is>
      </c>
      <c r="C18" s="8" t="inlineStr">
        <is>
          <t>Raceway</t>
        </is>
      </c>
      <c r="D18" s="11" t="inlineStr">
        <is>
          <t>EMT straps (1 per 8')</t>
        </is>
      </c>
      <c r="E18" s="24">
        <f>ROUNDUP((emt_34_w+emt_1_w)/8,0)</f>
        <v>463.0</v>
      </c>
      <c r="F18" s="8" t="inlineStr">
        <is>
          <t>EA</t>
        </is>
      </c>
      <c r="G18" s="13" t="n">
        <v>0</v>
      </c>
      <c r="H18" s="25">
        <f>E18*(1+G18)</f>
        <v>463.0</v>
      </c>
      <c r="I18" s="26" t="inlineStr">
        <is>
          <t>ROUNDUP((emt_34_w+emt_1_w)/8,0)</t>
        </is>
      </c>
      <c r="J18" s="27" t="inlineStr"/>
    </row>
    <row r="19">
      <c r="A19" s="8" t="n">
        <v>14</v>
      </c>
      <c r="B19" s="8" t="inlineStr">
        <is>
          <t>26 05 33</t>
        </is>
      </c>
      <c r="C19" s="8" t="inlineStr">
        <is>
          <t>Raceway</t>
        </is>
      </c>
      <c r="D19" s="11" t="inlineStr">
        <is>
          <t>Device boxes 4" sq. w/ mud ring</t>
        </is>
      </c>
      <c r="E19" s="24">
        <f>n_dup+n_gfci+n_ded+n_occw+n_sw</f>
        <v>79.0</v>
      </c>
      <c r="F19" s="8" t="inlineStr">
        <is>
          <t>EA</t>
        </is>
      </c>
      <c r="G19" s="13" t="n">
        <v>0</v>
      </c>
      <c r="H19" s="25">
        <f>E19*(1+G19)</f>
        <v>79.0</v>
      </c>
      <c r="I19" s="26" t="inlineStr">
        <is>
          <t>n_dup+n_gfci+n_ded+n_occw+n_sw</t>
        </is>
      </c>
      <c r="J19" s="27" t="inlineStr"/>
    </row>
    <row r="20">
      <c r="A20" s="8" t="n">
        <v>15</v>
      </c>
      <c r="B20" s="8" t="inlineStr">
        <is>
          <t>26 05 33</t>
        </is>
      </c>
      <c r="C20" s="8" t="inlineStr">
        <is>
          <t>Raceway</t>
        </is>
      </c>
      <c r="D20" s="11" t="inlineStr">
        <is>
          <t>Lighting j-boxes above ceiling (1 per fixture)</t>
        </is>
      </c>
      <c r="E20" s="24">
        <f>fx_a+fx_b+fx_c+fx_d+fx_x</f>
        <v>94.0</v>
      </c>
      <c r="F20" s="8" t="inlineStr">
        <is>
          <t>EA</t>
        </is>
      </c>
      <c r="G20" s="13" t="n">
        <v>0</v>
      </c>
      <c r="H20" s="25">
        <f>E20*(1+G20)</f>
        <v>94.0</v>
      </c>
      <c r="I20" s="26" t="inlineStr">
        <is>
          <t>fx_a+fx_b+fx_c+fx_d+fx_x</t>
        </is>
      </c>
      <c r="J20" s="27" t="inlineStr"/>
    </row>
    <row r="21">
      <c r="A21" s="8" t="n">
        <v>16</v>
      </c>
      <c r="B21" s="8" t="inlineStr">
        <is>
          <t>26 05 33</t>
        </is>
      </c>
      <c r="C21" s="8" t="inlineStr">
        <is>
          <t>Raceway</t>
        </is>
      </c>
      <c r="D21" s="11" t="inlineStr">
        <is>
          <t>EMT connectors (2 per box)</t>
        </is>
      </c>
      <c r="E21" s="24">
        <f>2*(dev_boxes+j_boxes)</f>
        <v>346.0</v>
      </c>
      <c r="F21" s="8" t="inlineStr">
        <is>
          <t>EA</t>
        </is>
      </c>
      <c r="G21" s="13" t="n">
        <v>0</v>
      </c>
      <c r="H21" s="25">
        <f>E21*(1+G21)</f>
        <v>346.0</v>
      </c>
      <c r="I21" s="26" t="inlineStr">
        <is>
          <t>2 × (dev_boxes+j_boxes)</t>
        </is>
      </c>
      <c r="J21" s="27" t="inlineStr"/>
    </row>
    <row r="22">
      <c r="A22" s="8" t="n">
        <v>17</v>
      </c>
      <c r="B22" s="8" t="inlineStr">
        <is>
          <t>26 05 19</t>
        </is>
      </c>
      <c r="C22" s="8" t="inlineStr">
        <is>
          <t>Wire</t>
        </is>
      </c>
      <c r="D22" s="11" t="inlineStr">
        <is>
          <t>THHN Cu #12 (phase, neutral and ground)</t>
        </is>
      </c>
      <c r="E22" s="24">
        <f>SUMIF('Circuit Schedule'!$P$6:$P$30,"#12",'Circuit Schedule'!$Q$6:$Q$30)+SUMIF('Circuit Schedule'!$T$6:$T$30,"#12",'Circuit Schedule'!$U$6:$U$30)</f>
        <v>1374.0</v>
      </c>
      <c r="F22" s="8" t="inlineStr">
        <is>
          <t>LF</t>
        </is>
      </c>
      <c r="G22" s="13" t="n">
        <v>0.1</v>
      </c>
      <c r="H22" s="25">
        <f>E22*(1+G22)</f>
        <v>1511.4</v>
      </c>
      <c r="I22" s="26" t="inlineStr">
        <is>
          <t>Σ[Circuit Schedule: Phase/neutral wire LF where Wire used = "#12"]+Σ[Circuit Schedule: Ground wire LF where Ground used = "#12"]</t>
        </is>
      </c>
      <c r="J22" s="27" t="inlineStr">
        <is>
          <t>Sum of phase/neutral + ground columns for this gauge</t>
        </is>
      </c>
    </row>
    <row r="23">
      <c r="A23" s="8" t="n">
        <v>18</v>
      </c>
      <c r="B23" s="8" t="inlineStr">
        <is>
          <t>26 05 19</t>
        </is>
      </c>
      <c r="C23" s="8" t="inlineStr">
        <is>
          <t>Wire</t>
        </is>
      </c>
      <c r="D23" s="11" t="inlineStr">
        <is>
          <t>THHN Cu #10 (phase, neutral and ground)</t>
        </is>
      </c>
      <c r="E23" s="24">
        <f>SUMIF('Circuit Schedule'!$P$6:$P$30,"#10",'Circuit Schedule'!$Q$6:$Q$30)+SUMIF('Circuit Schedule'!$T$6:$T$30,"#10",'Circuit Schedule'!$U$6:$U$30)</f>
        <v>9517.0</v>
      </c>
      <c r="F23" s="8" t="inlineStr">
        <is>
          <t>LF</t>
        </is>
      </c>
      <c r="G23" s="13" t="n">
        <v>0.1</v>
      </c>
      <c r="H23" s="25">
        <f>E23*(1+G23)</f>
        <v>10468.7</v>
      </c>
      <c r="I23" s="26" t="inlineStr">
        <is>
          <t>Σ[Circuit Schedule: Phase/neutral wire LF where Wire used = "#10"]+Σ[Circuit Schedule: Ground wire LF where Ground used = "#10"]</t>
        </is>
      </c>
      <c r="J23" s="27" t="inlineStr">
        <is>
          <t>Sum of phase/neutral + ground columns for this gauge</t>
        </is>
      </c>
    </row>
    <row r="24">
      <c r="A24" s="8" t="n">
        <v>19</v>
      </c>
      <c r="B24" s="8" t="inlineStr">
        <is>
          <t>26 05 19</t>
        </is>
      </c>
      <c r="C24" s="8" t="inlineStr">
        <is>
          <t>Wire</t>
        </is>
      </c>
      <c r="D24" s="11" t="inlineStr">
        <is>
          <t>THHN Cu #8 (phase, neutral and ground)</t>
        </is>
      </c>
      <c r="E24" s="24">
        <f>SUMIF('Circuit Schedule'!$P$6:$P$30,"#8",'Circuit Schedule'!$Q$6:$Q$30)+SUMIF('Circuit Schedule'!$T$6:$T$30,"#8",'Circuit Schedule'!$U$6:$U$30)</f>
        <v>390.0</v>
      </c>
      <c r="F24" s="8" t="inlineStr">
        <is>
          <t>LF</t>
        </is>
      </c>
      <c r="G24" s="13" t="n">
        <v>0.1</v>
      </c>
      <c r="H24" s="25">
        <f>E24*(1+G24)</f>
        <v>429.00000000000006</v>
      </c>
      <c r="I24" s="26" t="inlineStr">
        <is>
          <t>Σ[Circuit Schedule: Phase/neutral wire LF where Wire used = "#8"]+Σ[Circuit Schedule: Ground wire LF where Ground used = "#8"]</t>
        </is>
      </c>
      <c r="J24" s="27" t="inlineStr">
        <is>
          <t>Sum of phase/neutral + ground columns for this gauge</t>
        </is>
      </c>
    </row>
    <row r="25">
      <c r="A25" s="8" t="n">
        <v>20</v>
      </c>
      <c r="B25" s="8" t="inlineStr">
        <is>
          <t>26 05 19</t>
        </is>
      </c>
      <c r="C25" s="8" t="inlineStr">
        <is>
          <t>Wire</t>
        </is>
      </c>
      <c r="D25" s="11" t="inlineStr">
        <is>
          <t>MC fixture whips 6' (3-wire #12)</t>
        </is>
      </c>
      <c r="E25" s="24">
        <f>fx_a+fx_b+fx_c+fx_d+fx_x</f>
        <v>94.0</v>
      </c>
      <c r="F25" s="8" t="inlineStr">
        <is>
          <t>EA</t>
        </is>
      </c>
      <c r="G25" s="13" t="n">
        <v>0</v>
      </c>
      <c r="H25" s="25">
        <f>E25*(1+G25)</f>
        <v>94.0</v>
      </c>
      <c r="I25" s="26" t="inlineStr">
        <is>
          <t>fx_a+fx_b+fx_c+fx_d+fx_x</t>
        </is>
      </c>
      <c r="J25" s="27" t="inlineStr"/>
    </row>
    <row r="26">
      <c r="A26" s="8" t="n">
        <v>21</v>
      </c>
      <c r="B26" s="8" t="inlineStr">
        <is>
          <t>26 27 26</t>
        </is>
      </c>
      <c r="C26" s="8" t="inlineStr">
        <is>
          <t>Wiring devices</t>
        </is>
      </c>
      <c r="D26" s="11" t="inlineStr">
        <is>
          <t>Duplex receptacle 20 A w/ plate</t>
        </is>
      </c>
      <c r="E26" s="24">
        <f>n_dup</f>
        <v>54.0</v>
      </c>
      <c r="F26" s="8" t="inlineStr">
        <is>
          <t>EA</t>
        </is>
      </c>
      <c r="G26" s="13" t="n">
        <v>0</v>
      </c>
      <c r="H26" s="25">
        <f>E26*(1+G26)</f>
        <v>54.0</v>
      </c>
      <c r="I26" s="26" t="inlineStr">
        <is>
          <t>n_dup</t>
        </is>
      </c>
      <c r="J26" s="27" t="inlineStr"/>
    </row>
    <row r="27">
      <c r="A27" s="8" t="n">
        <v>22</v>
      </c>
      <c r="B27" s="8" t="inlineStr">
        <is>
          <t>26 27 26</t>
        </is>
      </c>
      <c r="C27" s="8" t="inlineStr">
        <is>
          <t>Wiring devices</t>
        </is>
      </c>
      <c r="D27" s="11" t="inlineStr">
        <is>
          <t>GFCI receptacle 20 A w/ plate</t>
        </is>
      </c>
      <c r="E27" s="24">
        <f>n_gfci</f>
        <v>9.0</v>
      </c>
      <c r="F27" s="8" t="inlineStr">
        <is>
          <t>EA</t>
        </is>
      </c>
      <c r="G27" s="13" t="n">
        <v>0</v>
      </c>
      <c r="H27" s="25">
        <f>E27*(1+G27)</f>
        <v>9.0</v>
      </c>
      <c r="I27" s="26" t="inlineStr">
        <is>
          <t>n_gfci</t>
        </is>
      </c>
      <c r="J27" s="27" t="inlineStr"/>
    </row>
    <row r="28">
      <c r="A28" s="8" t="n">
        <v>23</v>
      </c>
      <c r="B28" s="8" t="inlineStr">
        <is>
          <t>26 27 26</t>
        </is>
      </c>
      <c r="C28" s="8" t="inlineStr">
        <is>
          <t>Wiring devices</t>
        </is>
      </c>
      <c r="D28" s="11" t="inlineStr">
        <is>
          <t>Dedicated receptacle 20 A w/ plate</t>
        </is>
      </c>
      <c r="E28" s="24">
        <f>n_ded</f>
        <v>4.0</v>
      </c>
      <c r="F28" s="8" t="inlineStr">
        <is>
          <t>EA</t>
        </is>
      </c>
      <c r="G28" s="13" t="n">
        <v>0</v>
      </c>
      <c r="H28" s="25">
        <f>E28*(1+G28)</f>
        <v>4.0</v>
      </c>
      <c r="I28" s="26" t="inlineStr">
        <is>
          <t>n_ded</t>
        </is>
      </c>
      <c r="J28" s="27" t="inlineStr"/>
    </row>
    <row r="29">
      <c r="A29" s="8" t="n">
        <v>24</v>
      </c>
      <c r="B29" s="8" t="inlineStr">
        <is>
          <t>26 09 23</t>
        </is>
      </c>
      <c r="C29" s="8" t="inlineStr">
        <is>
          <t>Wiring devices</t>
        </is>
      </c>
      <c r="D29" s="11" t="inlineStr">
        <is>
          <t>Wall-box occupancy sensor</t>
        </is>
      </c>
      <c r="E29" s="24">
        <f>n_occw</f>
        <v>10.0</v>
      </c>
      <c r="F29" s="8" t="inlineStr">
        <is>
          <t>EA</t>
        </is>
      </c>
      <c r="G29" s="13" t="n">
        <v>0</v>
      </c>
      <c r="H29" s="25">
        <f>E29*(1+G29)</f>
        <v>10.0</v>
      </c>
      <c r="I29" s="26" t="inlineStr">
        <is>
          <t>n_occw</t>
        </is>
      </c>
      <c r="J29" s="27" t="inlineStr"/>
    </row>
    <row r="30">
      <c r="A30" s="8" t="n">
        <v>25</v>
      </c>
      <c r="B30" s="8" t="inlineStr">
        <is>
          <t>26 09 23</t>
        </is>
      </c>
      <c r="C30" s="8" t="inlineStr">
        <is>
          <t>Wiring devices</t>
        </is>
      </c>
      <c r="D30" s="11" t="inlineStr">
        <is>
          <t>Ceiling occupancy sensor + power pack</t>
        </is>
      </c>
      <c r="E30" s="24">
        <f>n_occc</f>
        <v>6.0</v>
      </c>
      <c r="F30" s="8" t="inlineStr">
        <is>
          <t>EA</t>
        </is>
      </c>
      <c r="G30" s="13" t="n">
        <v>0</v>
      </c>
      <c r="H30" s="25">
        <f>E30*(1+G30)</f>
        <v>6.0</v>
      </c>
      <c r="I30" s="26" t="inlineStr">
        <is>
          <t>n_occc</t>
        </is>
      </c>
      <c r="J30" s="27" t="inlineStr"/>
    </row>
    <row r="31">
      <c r="A31" s="8" t="n">
        <v>26</v>
      </c>
      <c r="B31" s="8" t="inlineStr">
        <is>
          <t>26 27 26</t>
        </is>
      </c>
      <c r="C31" s="8" t="inlineStr">
        <is>
          <t>Wiring devices</t>
        </is>
      </c>
      <c r="D31" s="11" t="inlineStr">
        <is>
          <t>Toggle switch 20 A w/ plate</t>
        </is>
      </c>
      <c r="E31" s="24">
        <f>n_sw</f>
        <v>2.0</v>
      </c>
      <c r="F31" s="8" t="inlineStr">
        <is>
          <t>EA</t>
        </is>
      </c>
      <c r="G31" s="13" t="n">
        <v>0</v>
      </c>
      <c r="H31" s="25">
        <f>E31*(1+G31)</f>
        <v>2.0</v>
      </c>
      <c r="I31" s="26" t="inlineStr">
        <is>
          <t>n_sw</t>
        </is>
      </c>
      <c r="J31" s="27" t="inlineStr"/>
    </row>
    <row r="32">
      <c r="A32" s="8" t="n">
        <v>27</v>
      </c>
      <c r="B32" s="8" t="inlineStr">
        <is>
          <t>26 51 00</t>
        </is>
      </c>
      <c r="C32" s="8" t="inlineStr">
        <is>
          <t>Lighting</t>
        </is>
      </c>
      <c r="D32" s="11" t="inlineStr">
        <is>
          <t>Type A 2x4 LED troffer 40 W</t>
        </is>
      </c>
      <c r="E32" s="24">
        <f>fx_a</f>
        <v>73.0</v>
      </c>
      <c r="F32" s="8" t="inlineStr">
        <is>
          <t>EA</t>
        </is>
      </c>
      <c r="G32" s="13" t="n">
        <v>0</v>
      </c>
      <c r="H32" s="25">
        <f>E32*(1+G32)</f>
        <v>73.0</v>
      </c>
      <c r="I32" s="26" t="inlineStr">
        <is>
          <t>fx_a</t>
        </is>
      </c>
      <c r="J32" s="27" t="inlineStr"/>
    </row>
    <row r="33">
      <c r="A33" s="8" t="n">
        <v>28</v>
      </c>
      <c r="B33" s="8" t="inlineStr">
        <is>
          <t>26 51 00</t>
        </is>
      </c>
      <c r="C33" s="8" t="inlineStr">
        <is>
          <t>Lighting</t>
        </is>
      </c>
      <c r="D33" s="11" t="inlineStr">
        <is>
          <t>Type B 6" LED downlight 15 W</t>
        </is>
      </c>
      <c r="E33" s="24">
        <f>fx_b</f>
        <v>8.0</v>
      </c>
      <c r="F33" s="8" t="inlineStr">
        <is>
          <t>EA</t>
        </is>
      </c>
      <c r="G33" s="13" t="n">
        <v>0</v>
      </c>
      <c r="H33" s="25">
        <f>E33*(1+G33)</f>
        <v>8.0</v>
      </c>
      <c r="I33" s="26" t="inlineStr">
        <is>
          <t>fx_b</t>
        </is>
      </c>
      <c r="J33" s="27" t="inlineStr"/>
    </row>
    <row r="34">
      <c r="A34" s="8" t="n">
        <v>29</v>
      </c>
      <c r="B34" s="8" t="inlineStr">
        <is>
          <t>26 51 00</t>
        </is>
      </c>
      <c r="C34" s="8" t="inlineStr">
        <is>
          <t>Lighting</t>
        </is>
      </c>
      <c r="D34" s="11" t="inlineStr">
        <is>
          <t>Type C 2x2 LED flat panel 30 W</t>
        </is>
      </c>
      <c r="E34" s="24">
        <f>fx_c</f>
        <v>4.0</v>
      </c>
      <c r="F34" s="8" t="inlineStr">
        <is>
          <t>EA</t>
        </is>
      </c>
      <c r="G34" s="13" t="n">
        <v>0</v>
      </c>
      <c r="H34" s="25">
        <f>E34*(1+G34)</f>
        <v>4.0</v>
      </c>
      <c r="I34" s="26" t="inlineStr">
        <is>
          <t>fx_c</t>
        </is>
      </c>
      <c r="J34" s="27" t="inlineStr"/>
    </row>
    <row r="35">
      <c r="A35" s="8" t="n">
        <v>30</v>
      </c>
      <c r="B35" s="8" t="inlineStr">
        <is>
          <t>26 51 00</t>
        </is>
      </c>
      <c r="C35" s="8" t="inlineStr">
        <is>
          <t>Lighting</t>
        </is>
      </c>
      <c r="D35" s="11" t="inlineStr">
        <is>
          <t>Type D 4' LED strip 40 W</t>
        </is>
      </c>
      <c r="E35" s="24">
        <f>fx_d</f>
        <v>3.0</v>
      </c>
      <c r="F35" s="8" t="inlineStr">
        <is>
          <t>EA</t>
        </is>
      </c>
      <c r="G35" s="13" t="n">
        <v>0</v>
      </c>
      <c r="H35" s="25">
        <f>E35*(1+G35)</f>
        <v>3.0</v>
      </c>
      <c r="I35" s="26" t="inlineStr">
        <is>
          <t>fx_d</t>
        </is>
      </c>
      <c r="J35" s="27" t="inlineStr"/>
    </row>
    <row r="36">
      <c r="A36" s="8" t="n">
        <v>31</v>
      </c>
      <c r="B36" s="8" t="inlineStr">
        <is>
          <t>26 51 00</t>
        </is>
      </c>
      <c r="C36" s="8" t="inlineStr">
        <is>
          <t>Lighting</t>
        </is>
      </c>
      <c r="D36" s="11" t="inlineStr">
        <is>
          <t>Type X exit / emergency combo</t>
        </is>
      </c>
      <c r="E36" s="24">
        <f>fx_x</f>
        <v>6.0</v>
      </c>
      <c r="F36" s="8" t="inlineStr">
        <is>
          <t>EA</t>
        </is>
      </c>
      <c r="G36" s="13" t="n">
        <v>0</v>
      </c>
      <c r="H36" s="25">
        <f>E36*(1+G36)</f>
        <v>6.0</v>
      </c>
      <c r="I36" s="26" t="inlineStr">
        <is>
          <t>fx_x</t>
        </is>
      </c>
      <c r="J36" s="27" t="inlineStr"/>
    </row>
    <row r="37">
      <c r="A37" s="8" t="n">
        <v>32</v>
      </c>
      <c r="B37" s="8" t="inlineStr">
        <is>
          <t>26 51 00</t>
        </is>
      </c>
      <c r="C37" s="8" t="inlineStr">
        <is>
          <t>Lighting</t>
        </is>
      </c>
      <c r="D37" s="11" t="inlineStr">
        <is>
          <t>Fixture count check: lighting-circuit devices in schedule</t>
        </is>
      </c>
      <c r="E37" s="24">
        <f>SUMIF('Circuit Schedule'!$D$6:$D$30,"L",'Circuit Schedule'!$G$6:$G$30)</f>
        <v>94.0</v>
      </c>
      <c r="F37" s="8" t="inlineStr">
        <is>
          <t>EA</t>
        </is>
      </c>
      <c r="G37" s="13" t="n">
        <v>0</v>
      </c>
      <c r="H37" s="25">
        <f>E37*(1+G37)</f>
        <v>94.0</v>
      </c>
      <c r="I37" s="26" t="inlineStr">
        <is>
          <t>Σ[Circuit Schedule: Devices / fixtures where Type = "L"]</t>
        </is>
      </c>
      <c r="J37" s="27" t="inlineStr">
        <is>
          <t>Must equal the sum of Types A-X above</t>
        </is>
      </c>
    </row>
    <row r="38">
      <c r="A38" s="8" t="n">
        <v>33</v>
      </c>
      <c r="B38" s="8" t="inlineStr">
        <is>
          <t>26 05 00</t>
        </is>
      </c>
      <c r="C38" s="8" t="inlineStr">
        <is>
          <t>Equipment connections &amp; testing</t>
        </is>
      </c>
      <c r="D38" s="11" t="inlineStr">
        <is>
          <t>RTU / exhaust fan / WH final connections</t>
        </is>
      </c>
      <c r="E38" s="24">
        <f>2+2+1</f>
        <v>5.0</v>
      </c>
      <c r="F38" s="8" t="inlineStr">
        <is>
          <t>EA</t>
        </is>
      </c>
      <c r="G38" s="13" t="n">
        <v>0</v>
      </c>
      <c r="H38" s="25">
        <f>E38*(1+G38)</f>
        <v>5.0</v>
      </c>
      <c r="I38" s="26" t="inlineStr">
        <is>
          <t>2+2+1</t>
        </is>
      </c>
      <c r="J38" s="27" t="inlineStr"/>
    </row>
    <row r="39">
      <c r="A39" s="8" t="n">
        <v>34</v>
      </c>
      <c r="B39" s="8" t="inlineStr">
        <is>
          <t>26 08 00</t>
        </is>
      </c>
      <c r="C39" s="8" t="inlineStr">
        <is>
          <t>Equipment connections &amp; testing</t>
        </is>
      </c>
      <c r="D39" s="11" t="inlineStr">
        <is>
          <t>Testing, circuit directory, labeling</t>
        </is>
      </c>
      <c r="E39" s="24">
        <f>1</f>
        <v>1.0</v>
      </c>
      <c r="F39" s="8" t="inlineStr">
        <is>
          <t>LS</t>
        </is>
      </c>
      <c r="G39" s="13" t="n">
        <v>0</v>
      </c>
      <c r="H39" s="25">
        <f>E39*(1+G39)</f>
        <v>1.0</v>
      </c>
      <c r="I39" s="26" t="inlineStr">
        <is>
          <t>1 (counted / stated)</t>
        </is>
      </c>
      <c r="J39" s="27" t="inlineStr"/>
    </row>
  </sheetData>
  <autoFilter ref="A5:J39"/>
  <mergeCells count="1"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12" customWidth="1" min="4" max="4"/>
    <col width="7" customWidth="1" min="5" max="5"/>
    <col width="11" customWidth="1" min="6" max="6"/>
    <col width="13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2" customWidth="1" min="13" max="13"/>
    <col width="14" customWidth="1" min="14" max="14"/>
  </cols>
  <sheetData>
    <row r="1">
      <c r="A1" s="1" t="inlineStr">
        <is>
          <t>F&amp;K Estimatings</t>
        </is>
      </c>
    </row>
    <row r="2">
      <c r="A2" s="2" t="inlineStr">
        <is>
          <t>Electrical Takeoff Sample — Pricing (illustrative unit costs)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3" t="inlineStr">
        <is>
          <t>Unit costs and labor rates are illustrative, September 2026 national average; not a quote. Labor hr/unit = stated productivity. Rates are named assumptions.</t>
        </is>
      </c>
    </row>
    <row r="5" ht="26" customHeight="1">
      <c r="A5" s="7" t="inlineStr">
        <is>
          <t>Item</t>
        </is>
      </c>
      <c r="B5" s="7" t="inlineStr">
        <is>
          <t>Group</t>
        </is>
      </c>
      <c r="C5" s="7" t="inlineStr">
        <is>
          <t>Description</t>
        </is>
      </c>
      <c r="D5" s="7" t="inlineStr">
        <is>
          <t>Qty incl. waste</t>
        </is>
      </c>
      <c r="E5" s="7" t="inlineStr">
        <is>
          <t>Unit</t>
        </is>
      </c>
      <c r="F5" s="7" t="inlineStr">
        <is>
          <t>Material $/unit</t>
        </is>
      </c>
      <c r="G5" s="7" t="inlineStr">
        <is>
          <t>Material $</t>
        </is>
      </c>
      <c r="H5" s="7" t="inlineStr">
        <is>
          <t>Labor hr/unit</t>
        </is>
      </c>
      <c r="I5" s="7" t="inlineStr">
        <is>
          <t>Labor hrs</t>
        </is>
      </c>
      <c r="J5" s="7" t="inlineStr">
        <is>
          <t>Labor rate $/hr</t>
        </is>
      </c>
      <c r="K5" s="7" t="inlineStr">
        <is>
          <t>Labor $</t>
        </is>
      </c>
      <c r="L5" s="7" t="inlineStr">
        <is>
          <t>Equip $/unit</t>
        </is>
      </c>
      <c r="M5" s="7" t="inlineStr">
        <is>
          <t>Equip $</t>
        </is>
      </c>
      <c r="N5" s="7" t="inlineStr">
        <is>
          <t>Total $</t>
        </is>
      </c>
    </row>
    <row r="6">
      <c r="A6" s="8" t="n">
        <v>1</v>
      </c>
      <c r="B6" s="8" t="inlineStr">
        <is>
          <t>Distribution</t>
        </is>
      </c>
      <c r="C6" s="11" t="inlineStr">
        <is>
          <t>Panelboard MDP 400 A MCB, 208Y/120 V 3-ph 4-W, 30 ckt (incl. breakers)</t>
        </is>
      </c>
      <c r="D6" s="28">
        <f>'Quantity Takeoff'!H6</f>
        <v>1.0</v>
      </c>
      <c r="E6" s="8" t="inlineStr">
        <is>
          <t>EA</t>
        </is>
      </c>
      <c r="F6" s="29" t="n">
        <v>4800</v>
      </c>
      <c r="G6" s="30">
        <f>D6*F6</f>
        <v>4800.0</v>
      </c>
      <c r="H6" s="31" t="n">
        <v>24</v>
      </c>
      <c r="I6" s="32">
        <f>D6*H6</f>
        <v>24.0</v>
      </c>
      <c r="J6" s="33">
        <f>rate_elec</f>
        <v>82.0</v>
      </c>
      <c r="K6" s="30">
        <f>I6*J6</f>
        <v>1968.0</v>
      </c>
      <c r="L6" s="29" t="n">
        <v>0</v>
      </c>
      <c r="M6" s="30">
        <f>D6*L6</f>
        <v>0.0</v>
      </c>
      <c r="N6" s="34">
        <f>G6+K6+M6</f>
        <v>6768.0</v>
      </c>
    </row>
    <row r="7">
      <c r="A7" s="8" t="n">
        <v>2</v>
      </c>
      <c r="B7" s="8" t="inlineStr">
        <is>
          <t>Distribution</t>
        </is>
      </c>
      <c r="C7" s="11" t="inlineStr">
        <is>
          <t>Panelboard LP-1 225 A MLO, 42 ckt (incl. branch breakers)</t>
        </is>
      </c>
      <c r="D7" s="28">
        <f>'Quantity Takeoff'!H7</f>
        <v>1.0</v>
      </c>
      <c r="E7" s="8" t="inlineStr">
        <is>
          <t>EA</t>
        </is>
      </c>
      <c r="F7" s="29" t="n">
        <v>2400</v>
      </c>
      <c r="G7" s="30">
        <f>D7*F7</f>
        <v>2400.0</v>
      </c>
      <c r="H7" s="31" t="n">
        <v>12</v>
      </c>
      <c r="I7" s="32">
        <f>D7*H7</f>
        <v>12.0</v>
      </c>
      <c r="J7" s="33">
        <f>rate_elec</f>
        <v>82.0</v>
      </c>
      <c r="K7" s="30">
        <f>I7*J7</f>
        <v>984.0</v>
      </c>
      <c r="L7" s="29" t="n">
        <v>0</v>
      </c>
      <c r="M7" s="30">
        <f>D7*L7</f>
        <v>0.0</v>
      </c>
      <c r="N7" s="34">
        <f>G7+K7+M7</f>
        <v>3384.0</v>
      </c>
    </row>
    <row r="8">
      <c r="A8" s="8" t="n">
        <v>3</v>
      </c>
      <c r="B8" s="8" t="inlineStr">
        <is>
          <t>Distribution</t>
        </is>
      </c>
      <c r="C8" s="11" t="inlineStr">
        <is>
          <t>Feeder MDP to LP-1: 2-1/2" EMT</t>
        </is>
      </c>
      <c r="D8" s="28">
        <f>'Quantity Takeoff'!H8</f>
        <v>15.75</v>
      </c>
      <c r="E8" s="8" t="inlineStr">
        <is>
          <t>LF</t>
        </is>
      </c>
      <c r="F8" s="29" t="n">
        <v>7.5</v>
      </c>
      <c r="G8" s="30">
        <f>D8*F8</f>
        <v>118.125</v>
      </c>
      <c r="H8" s="31" t="n">
        <v>0.11</v>
      </c>
      <c r="I8" s="32">
        <f>D8*H8</f>
        <v>1.7325</v>
      </c>
      <c r="J8" s="33">
        <f>rate_elec</f>
        <v>82.0</v>
      </c>
      <c r="K8" s="30">
        <f>I8*J8</f>
        <v>142.065</v>
      </c>
      <c r="L8" s="29" t="n">
        <v>0</v>
      </c>
      <c r="M8" s="30">
        <f>D8*L8</f>
        <v>0.0</v>
      </c>
      <c r="N8" s="34">
        <f>G8+K8+M8</f>
        <v>260.19</v>
      </c>
    </row>
    <row r="9">
      <c r="A9" s="8" t="n">
        <v>4</v>
      </c>
      <c r="B9" s="8" t="inlineStr">
        <is>
          <t>Distribution</t>
        </is>
      </c>
      <c r="C9" s="11" t="inlineStr">
        <is>
          <t>Feeder: 4 x 4/0 THHN Cu (3 phase + full neutral)</t>
        </is>
      </c>
      <c r="D9" s="28">
        <f>'Quantity Takeoff'!H9</f>
        <v>92.4</v>
      </c>
      <c r="E9" s="8" t="inlineStr">
        <is>
          <t>LF</t>
        </is>
      </c>
      <c r="F9" s="29" t="n">
        <v>4.6</v>
      </c>
      <c r="G9" s="30">
        <f>D9*F9</f>
        <v>425.04</v>
      </c>
      <c r="H9" s="31" t="n">
        <v>0.028</v>
      </c>
      <c r="I9" s="32">
        <f>D9*H9</f>
        <v>2.5872</v>
      </c>
      <c r="J9" s="33">
        <f>rate_elec</f>
        <v>82.0</v>
      </c>
      <c r="K9" s="30">
        <f>I9*J9</f>
        <v>212.15040000000002</v>
      </c>
      <c r="L9" s="29" t="n">
        <v>0</v>
      </c>
      <c r="M9" s="30">
        <f>D9*L9</f>
        <v>0.0</v>
      </c>
      <c r="N9" s="34">
        <f>G9+K9+M9</f>
        <v>637.1904000000001</v>
      </c>
    </row>
    <row r="10">
      <c r="A10" s="8" t="n">
        <v>5</v>
      </c>
      <c r="B10" s="8" t="inlineStr">
        <is>
          <t>Distribution</t>
        </is>
      </c>
      <c r="C10" s="11" t="inlineStr">
        <is>
          <t>Feeder: 1 x #4 THHN Cu equipment ground</t>
        </is>
      </c>
      <c r="D10" s="28">
        <f>'Quantity Takeoff'!H10</f>
        <v>23.1</v>
      </c>
      <c r="E10" s="8" t="inlineStr">
        <is>
          <t>LF</t>
        </is>
      </c>
      <c r="F10" s="29" t="n">
        <v>1.35</v>
      </c>
      <c r="G10" s="30">
        <f>D10*F10</f>
        <v>31.185000000000002</v>
      </c>
      <c r="H10" s="31" t="n">
        <v>0.012</v>
      </c>
      <c r="I10" s="32">
        <f>D10*H10</f>
        <v>0.2772</v>
      </c>
      <c r="J10" s="33">
        <f>rate_elec</f>
        <v>82.0</v>
      </c>
      <c r="K10" s="30">
        <f>I10*J10</f>
        <v>22.7304</v>
      </c>
      <c r="L10" s="29" t="n">
        <v>0</v>
      </c>
      <c r="M10" s="30">
        <f>D10*L10</f>
        <v>0.0</v>
      </c>
      <c r="N10" s="34">
        <f>G10+K10+M10</f>
        <v>53.915400000000005</v>
      </c>
    </row>
    <row r="11">
      <c r="A11" s="8" t="n">
        <v>6</v>
      </c>
      <c r="B11" s="8" t="inlineStr">
        <is>
          <t>Distribution</t>
        </is>
      </c>
      <c r="C11" s="11" t="inlineStr">
        <is>
          <t>Disconnect 60 A 3-pole NEMA 3R (RTUs)</t>
        </is>
      </c>
      <c r="D11" s="28">
        <f>'Quantity Takeoff'!H11</f>
        <v>2.0</v>
      </c>
      <c r="E11" s="8" t="inlineStr">
        <is>
          <t>EA</t>
        </is>
      </c>
      <c r="F11" s="29" t="n">
        <v>210</v>
      </c>
      <c r="G11" s="30">
        <f>D11*F11</f>
        <v>420.0</v>
      </c>
      <c r="H11" s="31" t="n">
        <v>3</v>
      </c>
      <c r="I11" s="32">
        <f>D11*H11</f>
        <v>6.0</v>
      </c>
      <c r="J11" s="33">
        <f>rate_elec</f>
        <v>82.0</v>
      </c>
      <c r="K11" s="30">
        <f>I11*J11</f>
        <v>492.0</v>
      </c>
      <c r="L11" s="29" t="n">
        <v>0</v>
      </c>
      <c r="M11" s="30">
        <f>D11*L11</f>
        <v>0.0</v>
      </c>
      <c r="N11" s="34">
        <f>G11+K11+M11</f>
        <v>912.0</v>
      </c>
    </row>
    <row r="12">
      <c r="A12" s="8" t="n">
        <v>7</v>
      </c>
      <c r="B12" s="8" t="inlineStr">
        <is>
          <t>Distribution</t>
        </is>
      </c>
      <c r="C12" s="11" t="inlineStr">
        <is>
          <t>Disconnect 30 A 2-pole (WH-1)</t>
        </is>
      </c>
      <c r="D12" s="28">
        <f>'Quantity Takeoff'!H12</f>
        <v>1.0</v>
      </c>
      <c r="E12" s="8" t="inlineStr">
        <is>
          <t>EA</t>
        </is>
      </c>
      <c r="F12" s="29" t="n">
        <v>95</v>
      </c>
      <c r="G12" s="30">
        <f>D12*F12</f>
        <v>95.0</v>
      </c>
      <c r="H12" s="31" t="n">
        <v>2</v>
      </c>
      <c r="I12" s="32">
        <f>D12*H12</f>
        <v>2.0</v>
      </c>
      <c r="J12" s="33">
        <f>rate_elec</f>
        <v>82.0</v>
      </c>
      <c r="K12" s="30">
        <f>I12*J12</f>
        <v>164.0</v>
      </c>
      <c r="L12" s="29" t="n">
        <v>0</v>
      </c>
      <c r="M12" s="30">
        <f>D12*L12</f>
        <v>0.0</v>
      </c>
      <c r="N12" s="34">
        <f>G12+K12+M12</f>
        <v>259.0</v>
      </c>
    </row>
    <row r="13">
      <c r="A13" s="8" t="n">
        <v>10</v>
      </c>
      <c r="B13" s="8" t="inlineStr">
        <is>
          <t>Raceway</t>
        </is>
      </c>
      <c r="C13" s="11" t="inlineStr">
        <is>
          <t>EMT 3/4" (branch circuits)</t>
        </is>
      </c>
      <c r="D13" s="28">
        <f>'Quantity Takeoff'!H15</f>
        <v>3570.0</v>
      </c>
      <c r="E13" s="8" t="inlineStr">
        <is>
          <t>LF</t>
        </is>
      </c>
      <c r="F13" s="29" t="n">
        <v>1.05</v>
      </c>
      <c r="G13" s="30">
        <f>D13*F13</f>
        <v>3748.5</v>
      </c>
      <c r="H13" s="31" t="n">
        <v>0.04</v>
      </c>
      <c r="I13" s="32">
        <f>D13*H13</f>
        <v>142.8</v>
      </c>
      <c r="J13" s="33">
        <f>rate_elec</f>
        <v>82.0</v>
      </c>
      <c r="K13" s="30">
        <f>I13*J13</f>
        <v>11709.6</v>
      </c>
      <c r="L13" s="29" t="n">
        <v>0</v>
      </c>
      <c r="M13" s="30">
        <f>D13*L13</f>
        <v>0.0</v>
      </c>
      <c r="N13" s="34">
        <f>G13+K13+M13</f>
        <v>15458.1</v>
      </c>
    </row>
    <row r="14">
      <c r="A14" s="8" t="n">
        <v>11</v>
      </c>
      <c r="B14" s="8" t="inlineStr">
        <is>
          <t>Raceway</t>
        </is>
      </c>
      <c r="C14" s="11" t="inlineStr">
        <is>
          <t>EMT 1" (RTU circuits)</t>
        </is>
      </c>
      <c r="D14" s="28">
        <f>'Quantity Takeoff'!H16</f>
        <v>132.3</v>
      </c>
      <c r="E14" s="8" t="inlineStr">
        <is>
          <t>LF</t>
        </is>
      </c>
      <c r="F14" s="29" t="n">
        <v>1.75</v>
      </c>
      <c r="G14" s="30">
        <f>D14*F14</f>
        <v>231.52500000000003</v>
      </c>
      <c r="H14" s="31" t="n">
        <v>0.05</v>
      </c>
      <c r="I14" s="32">
        <f>D14*H14</f>
        <v>6.615000000000001</v>
      </c>
      <c r="J14" s="33">
        <f>rate_elec</f>
        <v>82.0</v>
      </c>
      <c r="K14" s="30">
        <f>I14*J14</f>
        <v>542.4300000000001</v>
      </c>
      <c r="L14" s="29" t="n">
        <v>0</v>
      </c>
      <c r="M14" s="30">
        <f>D14*L14</f>
        <v>0.0</v>
      </c>
      <c r="N14" s="34">
        <f>G14+K14+M14</f>
        <v>773.9550000000002</v>
      </c>
    </row>
    <row r="15">
      <c r="A15" s="8" t="n">
        <v>12</v>
      </c>
      <c r="B15" s="8" t="inlineStr">
        <is>
          <t>Raceway</t>
        </is>
      </c>
      <c r="C15" s="11" t="inlineStr">
        <is>
          <t>EMT couplings (1 per 10' stick)</t>
        </is>
      </c>
      <c r="D15" s="28">
        <f>'Quantity Takeoff'!H17</f>
        <v>371.0</v>
      </c>
      <c r="E15" s="8" t="inlineStr">
        <is>
          <t>EA</t>
        </is>
      </c>
      <c r="F15" s="29" t="n">
        <v>0.85</v>
      </c>
      <c r="G15" s="30">
        <f>D15*F15</f>
        <v>315.34999999999997</v>
      </c>
      <c r="H15" s="31" t="n">
        <v>0</v>
      </c>
      <c r="I15" s="32">
        <f>D15*H15</f>
        <v>0.0</v>
      </c>
      <c r="J15" s="33">
        <f>rate_elec</f>
        <v>82.0</v>
      </c>
      <c r="K15" s="30">
        <f>I15*J15</f>
        <v>0.0</v>
      </c>
      <c r="L15" s="29" t="n">
        <v>0</v>
      </c>
      <c r="M15" s="30">
        <f>D15*L15</f>
        <v>0.0</v>
      </c>
      <c r="N15" s="34">
        <f>G15+K15+M15</f>
        <v>315.34999999999997</v>
      </c>
    </row>
    <row r="16">
      <c r="A16" s="8" t="n">
        <v>13</v>
      </c>
      <c r="B16" s="8" t="inlineStr">
        <is>
          <t>Raceway</t>
        </is>
      </c>
      <c r="C16" s="11" t="inlineStr">
        <is>
          <t>EMT straps (1 per 8')</t>
        </is>
      </c>
      <c r="D16" s="28">
        <f>'Quantity Takeoff'!H18</f>
        <v>463.0</v>
      </c>
      <c r="E16" s="8" t="inlineStr">
        <is>
          <t>EA</t>
        </is>
      </c>
      <c r="F16" s="29" t="n">
        <v>0.3</v>
      </c>
      <c r="G16" s="30">
        <f>D16*F16</f>
        <v>138.9</v>
      </c>
      <c r="H16" s="31" t="n">
        <v>0</v>
      </c>
      <c r="I16" s="32">
        <f>D16*H16</f>
        <v>0.0</v>
      </c>
      <c r="J16" s="33">
        <f>rate_elec</f>
        <v>82.0</v>
      </c>
      <c r="K16" s="30">
        <f>I16*J16</f>
        <v>0.0</v>
      </c>
      <c r="L16" s="29" t="n">
        <v>0</v>
      </c>
      <c r="M16" s="30">
        <f>D16*L16</f>
        <v>0.0</v>
      </c>
      <c r="N16" s="34">
        <f>G16+K16+M16</f>
        <v>138.9</v>
      </c>
    </row>
    <row r="17">
      <c r="A17" s="8" t="n">
        <v>14</v>
      </c>
      <c r="B17" s="8" t="inlineStr">
        <is>
          <t>Raceway</t>
        </is>
      </c>
      <c r="C17" s="11" t="inlineStr">
        <is>
          <t>Device boxes 4" sq. w/ mud ring</t>
        </is>
      </c>
      <c r="D17" s="28">
        <f>'Quantity Takeoff'!H19</f>
        <v>79.0</v>
      </c>
      <c r="E17" s="8" t="inlineStr">
        <is>
          <t>EA</t>
        </is>
      </c>
      <c r="F17" s="29" t="n">
        <v>3.8</v>
      </c>
      <c r="G17" s="30">
        <f>D17*F17</f>
        <v>300.2</v>
      </c>
      <c r="H17" s="31" t="n">
        <v>0.25</v>
      </c>
      <c r="I17" s="32">
        <f>D17*H17</f>
        <v>19.75</v>
      </c>
      <c r="J17" s="33">
        <f>rate_elec</f>
        <v>82.0</v>
      </c>
      <c r="K17" s="30">
        <f>I17*J17</f>
        <v>1619.5</v>
      </c>
      <c r="L17" s="29" t="n">
        <v>0</v>
      </c>
      <c r="M17" s="30">
        <f>D17*L17</f>
        <v>0.0</v>
      </c>
      <c r="N17" s="34">
        <f>G17+K17+M17</f>
        <v>1919.7</v>
      </c>
    </row>
    <row r="18">
      <c r="A18" s="8" t="n">
        <v>15</v>
      </c>
      <c r="B18" s="8" t="inlineStr">
        <is>
          <t>Raceway</t>
        </is>
      </c>
      <c r="C18" s="11" t="inlineStr">
        <is>
          <t>Lighting j-boxes above ceiling (1 per fixture)</t>
        </is>
      </c>
      <c r="D18" s="28">
        <f>'Quantity Takeoff'!H20</f>
        <v>94.0</v>
      </c>
      <c r="E18" s="8" t="inlineStr">
        <is>
          <t>EA</t>
        </is>
      </c>
      <c r="F18" s="29" t="n">
        <v>3.2</v>
      </c>
      <c r="G18" s="30">
        <f>D18*F18</f>
        <v>300.8</v>
      </c>
      <c r="H18" s="31" t="n">
        <v>0.2</v>
      </c>
      <c r="I18" s="32">
        <f>D18*H18</f>
        <v>18.8</v>
      </c>
      <c r="J18" s="33">
        <f>rate_elec</f>
        <v>82.0</v>
      </c>
      <c r="K18" s="30">
        <f>I18*J18</f>
        <v>1541.6000000000001</v>
      </c>
      <c r="L18" s="29" t="n">
        <v>0</v>
      </c>
      <c r="M18" s="30">
        <f>D18*L18</f>
        <v>0.0</v>
      </c>
      <c r="N18" s="34">
        <f>G18+K18+M18</f>
        <v>1842.4</v>
      </c>
    </row>
    <row r="19">
      <c r="A19" s="8" t="n">
        <v>16</v>
      </c>
      <c r="B19" s="8" t="inlineStr">
        <is>
          <t>Raceway</t>
        </is>
      </c>
      <c r="C19" s="11" t="inlineStr">
        <is>
          <t>EMT connectors (2 per box)</t>
        </is>
      </c>
      <c r="D19" s="28">
        <f>'Quantity Takeoff'!H21</f>
        <v>346.0</v>
      </c>
      <c r="E19" s="8" t="inlineStr">
        <is>
          <t>EA</t>
        </is>
      </c>
      <c r="F19" s="29" t="n">
        <v>0.95</v>
      </c>
      <c r="G19" s="30">
        <f>D19*F19</f>
        <v>328.7</v>
      </c>
      <c r="H19" s="31" t="n">
        <v>0</v>
      </c>
      <c r="I19" s="32">
        <f>D19*H19</f>
        <v>0.0</v>
      </c>
      <c r="J19" s="33">
        <f>rate_elec</f>
        <v>82.0</v>
      </c>
      <c r="K19" s="30">
        <f>I19*J19</f>
        <v>0.0</v>
      </c>
      <c r="L19" s="29" t="n">
        <v>0</v>
      </c>
      <c r="M19" s="30">
        <f>D19*L19</f>
        <v>0.0</v>
      </c>
      <c r="N19" s="34">
        <f>G19+K19+M19</f>
        <v>328.7</v>
      </c>
    </row>
    <row r="20">
      <c r="A20" s="8" t="n">
        <v>17</v>
      </c>
      <c r="B20" s="8" t="inlineStr">
        <is>
          <t>Wire</t>
        </is>
      </c>
      <c r="C20" s="11" t="inlineStr">
        <is>
          <t>THHN Cu #12 (phase, neutral and ground)</t>
        </is>
      </c>
      <c r="D20" s="28">
        <f>'Quantity Takeoff'!H22</f>
        <v>1511.4</v>
      </c>
      <c r="E20" s="8" t="inlineStr">
        <is>
          <t>LF</t>
        </is>
      </c>
      <c r="F20" s="29" t="n">
        <v>0.19</v>
      </c>
      <c r="G20" s="30">
        <f>D20*F20</f>
        <v>287.166</v>
      </c>
      <c r="H20" s="31" t="n">
        <v>0.0055</v>
      </c>
      <c r="I20" s="32">
        <f>D20*H20</f>
        <v>8.3127</v>
      </c>
      <c r="J20" s="33">
        <f>rate_elec</f>
        <v>82.0</v>
      </c>
      <c r="K20" s="30">
        <f>I20*J20</f>
        <v>681.6414</v>
      </c>
      <c r="L20" s="29" t="n">
        <v>0</v>
      </c>
      <c r="M20" s="30">
        <f>D20*L20</f>
        <v>0.0</v>
      </c>
      <c r="N20" s="34">
        <f>G20+K20+M20</f>
        <v>968.8073999999999</v>
      </c>
    </row>
    <row r="21">
      <c r="A21" s="8" t="n">
        <v>18</v>
      </c>
      <c r="B21" s="8" t="inlineStr">
        <is>
          <t>Wire</t>
        </is>
      </c>
      <c r="C21" s="11" t="inlineStr">
        <is>
          <t>THHN Cu #10 (phase, neutral and ground)</t>
        </is>
      </c>
      <c r="D21" s="28">
        <f>'Quantity Takeoff'!H23</f>
        <v>10468.7</v>
      </c>
      <c r="E21" s="8" t="inlineStr">
        <is>
          <t>LF</t>
        </is>
      </c>
      <c r="F21" s="29" t="n">
        <v>0.3</v>
      </c>
      <c r="G21" s="30">
        <f>D21*F21</f>
        <v>3140.61</v>
      </c>
      <c r="H21" s="31" t="n">
        <v>0.0065</v>
      </c>
      <c r="I21" s="32">
        <f>D21*H21</f>
        <v>68.04655</v>
      </c>
      <c r="J21" s="33">
        <f>rate_elec</f>
        <v>82.0</v>
      </c>
      <c r="K21" s="30">
        <f>I21*J21</f>
        <v>5579.817099999999</v>
      </c>
      <c r="L21" s="29" t="n">
        <v>0</v>
      </c>
      <c r="M21" s="30">
        <f>D21*L21</f>
        <v>0.0</v>
      </c>
      <c r="N21" s="34">
        <f>G21+K21+M21</f>
        <v>8720.427099999999</v>
      </c>
    </row>
    <row r="22">
      <c r="A22" s="8" t="n">
        <v>19</v>
      </c>
      <c r="B22" s="8" t="inlineStr">
        <is>
          <t>Wire</t>
        </is>
      </c>
      <c r="C22" s="11" t="inlineStr">
        <is>
          <t>THHN Cu #8 (phase, neutral and ground)</t>
        </is>
      </c>
      <c r="D22" s="28">
        <f>'Quantity Takeoff'!H24</f>
        <v>429.00000000000006</v>
      </c>
      <c r="E22" s="8" t="inlineStr">
        <is>
          <t>LF</t>
        </is>
      </c>
      <c r="F22" s="29" t="n">
        <v>0.52</v>
      </c>
      <c r="G22" s="30">
        <f>D22*F22</f>
        <v>223.08000000000004</v>
      </c>
      <c r="H22" s="31" t="n">
        <v>0.008999999999999999</v>
      </c>
      <c r="I22" s="32">
        <f>D22*H22</f>
        <v>3.861</v>
      </c>
      <c r="J22" s="33">
        <f>rate_elec</f>
        <v>82.0</v>
      </c>
      <c r="K22" s="30">
        <f>I22*J22</f>
        <v>316.60200000000003</v>
      </c>
      <c r="L22" s="29" t="n">
        <v>0</v>
      </c>
      <c r="M22" s="30">
        <f>D22*L22</f>
        <v>0.0</v>
      </c>
      <c r="N22" s="34">
        <f>G22+K22+M22</f>
        <v>539.682</v>
      </c>
    </row>
    <row r="23">
      <c r="A23" s="8" t="n">
        <v>20</v>
      </c>
      <c r="B23" s="8" t="inlineStr">
        <is>
          <t>Wire</t>
        </is>
      </c>
      <c r="C23" s="11" t="inlineStr">
        <is>
          <t>MC fixture whips 6' (3-wire #12)</t>
        </is>
      </c>
      <c r="D23" s="28">
        <f>'Quantity Takeoff'!H25</f>
        <v>94.0</v>
      </c>
      <c r="E23" s="8" t="inlineStr">
        <is>
          <t>EA</t>
        </is>
      </c>
      <c r="F23" s="29" t="n">
        <v>9.5</v>
      </c>
      <c r="G23" s="30">
        <f>D23*F23</f>
        <v>893.0</v>
      </c>
      <c r="H23" s="31" t="n">
        <v>0.2</v>
      </c>
      <c r="I23" s="32">
        <f>D23*H23</f>
        <v>18.8</v>
      </c>
      <c r="J23" s="33">
        <f>rate_elec</f>
        <v>82.0</v>
      </c>
      <c r="K23" s="30">
        <f>I23*J23</f>
        <v>1541.6000000000001</v>
      </c>
      <c r="L23" s="29" t="n">
        <v>0</v>
      </c>
      <c r="M23" s="30">
        <f>D23*L23</f>
        <v>0.0</v>
      </c>
      <c r="N23" s="34">
        <f>G23+K23+M23</f>
        <v>2434.6000000000004</v>
      </c>
    </row>
    <row r="24">
      <c r="A24" s="8" t="n">
        <v>21</v>
      </c>
      <c r="B24" s="8" t="inlineStr">
        <is>
          <t>Wiring devices</t>
        </is>
      </c>
      <c r="C24" s="11" t="inlineStr">
        <is>
          <t>Duplex receptacle 20 A w/ plate</t>
        </is>
      </c>
      <c r="D24" s="28">
        <f>'Quantity Takeoff'!H26</f>
        <v>54.0</v>
      </c>
      <c r="E24" s="8" t="inlineStr">
        <is>
          <t>EA</t>
        </is>
      </c>
      <c r="F24" s="29" t="n">
        <v>3.5</v>
      </c>
      <c r="G24" s="30">
        <f>D24*F24</f>
        <v>189.0</v>
      </c>
      <c r="H24" s="31" t="n">
        <v>0.3</v>
      </c>
      <c r="I24" s="32">
        <f>D24*H24</f>
        <v>16.2</v>
      </c>
      <c r="J24" s="33">
        <f>rate_elec</f>
        <v>82.0</v>
      </c>
      <c r="K24" s="30">
        <f>I24*J24</f>
        <v>1328.3999999999999</v>
      </c>
      <c r="L24" s="29" t="n">
        <v>0</v>
      </c>
      <c r="M24" s="30">
        <f>D24*L24</f>
        <v>0.0</v>
      </c>
      <c r="N24" s="34">
        <f>G24+K24+M24</f>
        <v>1517.3999999999999</v>
      </c>
    </row>
    <row r="25">
      <c r="A25" s="8" t="n">
        <v>22</v>
      </c>
      <c r="B25" s="8" t="inlineStr">
        <is>
          <t>Wiring devices</t>
        </is>
      </c>
      <c r="C25" s="11" t="inlineStr">
        <is>
          <t>GFCI receptacle 20 A w/ plate</t>
        </is>
      </c>
      <c r="D25" s="28">
        <f>'Quantity Takeoff'!H27</f>
        <v>9.0</v>
      </c>
      <c r="E25" s="8" t="inlineStr">
        <is>
          <t>EA</t>
        </is>
      </c>
      <c r="F25" s="29" t="n">
        <v>22</v>
      </c>
      <c r="G25" s="30">
        <f>D25*F25</f>
        <v>198.0</v>
      </c>
      <c r="H25" s="31" t="n">
        <v>0.4</v>
      </c>
      <c r="I25" s="32">
        <f>D25*H25</f>
        <v>3.6</v>
      </c>
      <c r="J25" s="33">
        <f>rate_elec</f>
        <v>82.0</v>
      </c>
      <c r="K25" s="30">
        <f>I25*J25</f>
        <v>295.2</v>
      </c>
      <c r="L25" s="29" t="n">
        <v>0</v>
      </c>
      <c r="M25" s="30">
        <f>D25*L25</f>
        <v>0.0</v>
      </c>
      <c r="N25" s="34">
        <f>G25+K25+M25</f>
        <v>493.2</v>
      </c>
    </row>
    <row r="26">
      <c r="A26" s="8" t="n">
        <v>23</v>
      </c>
      <c r="B26" s="8" t="inlineStr">
        <is>
          <t>Wiring devices</t>
        </is>
      </c>
      <c r="C26" s="11" t="inlineStr">
        <is>
          <t>Dedicated receptacle 20 A w/ plate</t>
        </is>
      </c>
      <c r="D26" s="28">
        <f>'Quantity Takeoff'!H28</f>
        <v>4.0</v>
      </c>
      <c r="E26" s="8" t="inlineStr">
        <is>
          <t>EA</t>
        </is>
      </c>
      <c r="F26" s="29" t="n">
        <v>4.5</v>
      </c>
      <c r="G26" s="30">
        <f>D26*F26</f>
        <v>18.0</v>
      </c>
      <c r="H26" s="31" t="n">
        <v>0.3</v>
      </c>
      <c r="I26" s="32">
        <f>D26*H26</f>
        <v>1.2</v>
      </c>
      <c r="J26" s="33">
        <f>rate_elec</f>
        <v>82.0</v>
      </c>
      <c r="K26" s="30">
        <f>I26*J26</f>
        <v>98.39999999999999</v>
      </c>
      <c r="L26" s="29" t="n">
        <v>0</v>
      </c>
      <c r="M26" s="30">
        <f>D26*L26</f>
        <v>0.0</v>
      </c>
      <c r="N26" s="34">
        <f>G26+K26+M26</f>
        <v>116.39999999999999</v>
      </c>
    </row>
    <row r="27">
      <c r="A27" s="8" t="n">
        <v>24</v>
      </c>
      <c r="B27" s="8" t="inlineStr">
        <is>
          <t>Wiring devices</t>
        </is>
      </c>
      <c r="C27" s="11" t="inlineStr">
        <is>
          <t>Wall-box occupancy sensor</t>
        </is>
      </c>
      <c r="D27" s="28">
        <f>'Quantity Takeoff'!H29</f>
        <v>10.0</v>
      </c>
      <c r="E27" s="8" t="inlineStr">
        <is>
          <t>EA</t>
        </is>
      </c>
      <c r="F27" s="29" t="n">
        <v>38</v>
      </c>
      <c r="G27" s="30">
        <f>D27*F27</f>
        <v>380.0</v>
      </c>
      <c r="H27" s="31" t="n">
        <v>0.5</v>
      </c>
      <c r="I27" s="32">
        <f>D27*H27</f>
        <v>5.0</v>
      </c>
      <c r="J27" s="33">
        <f>rate_elec</f>
        <v>82.0</v>
      </c>
      <c r="K27" s="30">
        <f>I27*J27</f>
        <v>410.0</v>
      </c>
      <c r="L27" s="29" t="n">
        <v>0</v>
      </c>
      <c r="M27" s="30">
        <f>D27*L27</f>
        <v>0.0</v>
      </c>
      <c r="N27" s="34">
        <f>G27+K27+M27</f>
        <v>790.0</v>
      </c>
    </row>
    <row r="28">
      <c r="A28" s="8" t="n">
        <v>25</v>
      </c>
      <c r="B28" s="8" t="inlineStr">
        <is>
          <t>Wiring devices</t>
        </is>
      </c>
      <c r="C28" s="11" t="inlineStr">
        <is>
          <t>Ceiling occupancy sensor + power pack</t>
        </is>
      </c>
      <c r="D28" s="28">
        <f>'Quantity Takeoff'!H30</f>
        <v>6.0</v>
      </c>
      <c r="E28" s="8" t="inlineStr">
        <is>
          <t>EA</t>
        </is>
      </c>
      <c r="F28" s="29" t="n">
        <v>85</v>
      </c>
      <c r="G28" s="30">
        <f>D28*F28</f>
        <v>510.0</v>
      </c>
      <c r="H28" s="31" t="n">
        <v>0.8</v>
      </c>
      <c r="I28" s="32">
        <f>D28*H28</f>
        <v>4.800000000000001</v>
      </c>
      <c r="J28" s="33">
        <f>rate_elec</f>
        <v>82.0</v>
      </c>
      <c r="K28" s="30">
        <f>I28*J28</f>
        <v>393.6000000000001</v>
      </c>
      <c r="L28" s="29" t="n">
        <v>0</v>
      </c>
      <c r="M28" s="30">
        <f>D28*L28</f>
        <v>0.0</v>
      </c>
      <c r="N28" s="34">
        <f>G28+K28+M28</f>
        <v>903.6000000000001</v>
      </c>
    </row>
    <row r="29">
      <c r="A29" s="8" t="n">
        <v>26</v>
      </c>
      <c r="B29" s="8" t="inlineStr">
        <is>
          <t>Wiring devices</t>
        </is>
      </c>
      <c r="C29" s="11" t="inlineStr">
        <is>
          <t>Toggle switch 20 A w/ plate</t>
        </is>
      </c>
      <c r="D29" s="28">
        <f>'Quantity Takeoff'!H31</f>
        <v>2.0</v>
      </c>
      <c r="E29" s="8" t="inlineStr">
        <is>
          <t>EA</t>
        </is>
      </c>
      <c r="F29" s="29" t="n">
        <v>3</v>
      </c>
      <c r="G29" s="30">
        <f>D29*F29</f>
        <v>6.0</v>
      </c>
      <c r="H29" s="31" t="n">
        <v>0.3</v>
      </c>
      <c r="I29" s="32">
        <f>D29*H29</f>
        <v>0.6</v>
      </c>
      <c r="J29" s="33">
        <f>rate_elec</f>
        <v>82.0</v>
      </c>
      <c r="K29" s="30">
        <f>I29*J29</f>
        <v>49.199999999999996</v>
      </c>
      <c r="L29" s="29" t="n">
        <v>0</v>
      </c>
      <c r="M29" s="30">
        <f>D29*L29</f>
        <v>0.0</v>
      </c>
      <c r="N29" s="34">
        <f>G29+K29+M29</f>
        <v>55.199999999999996</v>
      </c>
    </row>
    <row r="30">
      <c r="A30" s="8" t="n">
        <v>27</v>
      </c>
      <c r="B30" s="8" t="inlineStr">
        <is>
          <t>Lighting</t>
        </is>
      </c>
      <c r="C30" s="11" t="inlineStr">
        <is>
          <t>Type A 2x4 LED troffer 40 W</t>
        </is>
      </c>
      <c r="D30" s="28">
        <f>'Quantity Takeoff'!H32</f>
        <v>73.0</v>
      </c>
      <c r="E30" s="8" t="inlineStr">
        <is>
          <t>EA</t>
        </is>
      </c>
      <c r="F30" s="29" t="n">
        <v>95</v>
      </c>
      <c r="G30" s="30">
        <f>D30*F30</f>
        <v>6935.0</v>
      </c>
      <c r="H30" s="31" t="n">
        <v>0.9</v>
      </c>
      <c r="I30" s="32">
        <f>D30*H30</f>
        <v>65.7</v>
      </c>
      <c r="J30" s="33">
        <f>rate_elec</f>
        <v>82.0</v>
      </c>
      <c r="K30" s="30">
        <f>I30*J30</f>
        <v>5387.400000000001</v>
      </c>
      <c r="L30" s="29" t="n">
        <v>0</v>
      </c>
      <c r="M30" s="30">
        <f>D30*L30</f>
        <v>0.0</v>
      </c>
      <c r="N30" s="34">
        <f>G30+K30+M30</f>
        <v>12322.400000000001</v>
      </c>
    </row>
    <row r="31">
      <c r="A31" s="8" t="n">
        <v>28</v>
      </c>
      <c r="B31" s="8" t="inlineStr">
        <is>
          <t>Lighting</t>
        </is>
      </c>
      <c r="C31" s="11" t="inlineStr">
        <is>
          <t>Type B 6" LED downlight 15 W</t>
        </is>
      </c>
      <c r="D31" s="28">
        <f>'Quantity Takeoff'!H33</f>
        <v>8.0</v>
      </c>
      <c r="E31" s="8" t="inlineStr">
        <is>
          <t>EA</t>
        </is>
      </c>
      <c r="F31" s="29" t="n">
        <v>55</v>
      </c>
      <c r="G31" s="30">
        <f>D31*F31</f>
        <v>440.0</v>
      </c>
      <c r="H31" s="31" t="n">
        <v>0.8</v>
      </c>
      <c r="I31" s="32">
        <f>D31*H31</f>
        <v>6.4</v>
      </c>
      <c r="J31" s="33">
        <f>rate_elec</f>
        <v>82.0</v>
      </c>
      <c r="K31" s="30">
        <f>I31*J31</f>
        <v>524.8000000000001</v>
      </c>
      <c r="L31" s="29" t="n">
        <v>0</v>
      </c>
      <c r="M31" s="30">
        <f>D31*L31</f>
        <v>0.0</v>
      </c>
      <c r="N31" s="34">
        <f>G31+K31+M31</f>
        <v>964.8000000000001</v>
      </c>
    </row>
    <row r="32">
      <c r="A32" s="8" t="n">
        <v>29</v>
      </c>
      <c r="B32" s="8" t="inlineStr">
        <is>
          <t>Lighting</t>
        </is>
      </c>
      <c r="C32" s="11" t="inlineStr">
        <is>
          <t>Type C 2x2 LED flat panel 30 W</t>
        </is>
      </c>
      <c r="D32" s="28">
        <f>'Quantity Takeoff'!H34</f>
        <v>4.0</v>
      </c>
      <c r="E32" s="8" t="inlineStr">
        <is>
          <t>EA</t>
        </is>
      </c>
      <c r="F32" s="29" t="n">
        <v>70</v>
      </c>
      <c r="G32" s="30">
        <f>D32*F32</f>
        <v>280.0</v>
      </c>
      <c r="H32" s="31" t="n">
        <v>0.8</v>
      </c>
      <c r="I32" s="32">
        <f>D32*H32</f>
        <v>3.2</v>
      </c>
      <c r="J32" s="33">
        <f>rate_elec</f>
        <v>82.0</v>
      </c>
      <c r="K32" s="30">
        <f>I32*J32</f>
        <v>262.40000000000003</v>
      </c>
      <c r="L32" s="29" t="n">
        <v>0</v>
      </c>
      <c r="M32" s="30">
        <f>D32*L32</f>
        <v>0.0</v>
      </c>
      <c r="N32" s="34">
        <f>G32+K32+M32</f>
        <v>542.4000000000001</v>
      </c>
    </row>
    <row r="33">
      <c r="A33" s="8" t="n">
        <v>30</v>
      </c>
      <c r="B33" s="8" t="inlineStr">
        <is>
          <t>Lighting</t>
        </is>
      </c>
      <c r="C33" s="11" t="inlineStr">
        <is>
          <t>Type D 4' LED strip 40 W</t>
        </is>
      </c>
      <c r="D33" s="28">
        <f>'Quantity Takeoff'!H35</f>
        <v>3.0</v>
      </c>
      <c r="E33" s="8" t="inlineStr">
        <is>
          <t>EA</t>
        </is>
      </c>
      <c r="F33" s="29" t="n">
        <v>48</v>
      </c>
      <c r="G33" s="30">
        <f>D33*F33</f>
        <v>144.0</v>
      </c>
      <c r="H33" s="31" t="n">
        <v>0.6</v>
      </c>
      <c r="I33" s="32">
        <f>D33*H33</f>
        <v>1.7999999999999998</v>
      </c>
      <c r="J33" s="33">
        <f>rate_elec</f>
        <v>82.0</v>
      </c>
      <c r="K33" s="30">
        <f>I33*J33</f>
        <v>147.6</v>
      </c>
      <c r="L33" s="29" t="n">
        <v>0</v>
      </c>
      <c r="M33" s="30">
        <f>D33*L33</f>
        <v>0.0</v>
      </c>
      <c r="N33" s="34">
        <f>G33+K33+M33</f>
        <v>291.6</v>
      </c>
    </row>
    <row r="34">
      <c r="A34" s="8" t="n">
        <v>31</v>
      </c>
      <c r="B34" s="8" t="inlineStr">
        <is>
          <t>Lighting</t>
        </is>
      </c>
      <c r="C34" s="11" t="inlineStr">
        <is>
          <t>Type X exit / emergency combo</t>
        </is>
      </c>
      <c r="D34" s="28">
        <f>'Quantity Takeoff'!H36</f>
        <v>6.0</v>
      </c>
      <c r="E34" s="8" t="inlineStr">
        <is>
          <t>EA</t>
        </is>
      </c>
      <c r="F34" s="29" t="n">
        <v>85</v>
      </c>
      <c r="G34" s="30">
        <f>D34*F34</f>
        <v>510.0</v>
      </c>
      <c r="H34" s="31" t="n">
        <v>0.75</v>
      </c>
      <c r="I34" s="32">
        <f>D34*H34</f>
        <v>4.5</v>
      </c>
      <c r="J34" s="33">
        <f>rate_elec</f>
        <v>82.0</v>
      </c>
      <c r="K34" s="30">
        <f>I34*J34</f>
        <v>369.0</v>
      </c>
      <c r="L34" s="29" t="n">
        <v>0</v>
      </c>
      <c r="M34" s="30">
        <f>D34*L34</f>
        <v>0.0</v>
      </c>
      <c r="N34" s="34">
        <f>G34+K34+M34</f>
        <v>879.0</v>
      </c>
    </row>
    <row r="35">
      <c r="A35" s="8" t="n">
        <v>33</v>
      </c>
      <c r="B35" s="8" t="inlineStr">
        <is>
          <t>Equipment connections &amp; testing</t>
        </is>
      </c>
      <c r="C35" s="11" t="inlineStr">
        <is>
          <t>RTU / exhaust fan / WH final connections</t>
        </is>
      </c>
      <c r="D35" s="28">
        <f>'Quantity Takeoff'!H38</f>
        <v>5.0</v>
      </c>
      <c r="E35" s="8" t="inlineStr">
        <is>
          <t>EA</t>
        </is>
      </c>
      <c r="F35" s="29" t="n">
        <v>25</v>
      </c>
      <c r="G35" s="30">
        <f>D35*F35</f>
        <v>125.0</v>
      </c>
      <c r="H35" s="31" t="n">
        <v>1.5</v>
      </c>
      <c r="I35" s="32">
        <f>D35*H35</f>
        <v>7.5</v>
      </c>
      <c r="J35" s="33">
        <f>rate_elec</f>
        <v>82.0</v>
      </c>
      <c r="K35" s="30">
        <f>I35*J35</f>
        <v>615.0</v>
      </c>
      <c r="L35" s="29" t="n">
        <v>0</v>
      </c>
      <c r="M35" s="30">
        <f>D35*L35</f>
        <v>0.0</v>
      </c>
      <c r="N35" s="34">
        <f>G35+K35+M35</f>
        <v>740.0</v>
      </c>
    </row>
    <row r="36">
      <c r="A36" s="8" t="n">
        <v>34</v>
      </c>
      <c r="B36" s="8" t="inlineStr">
        <is>
          <t>Equipment connections &amp; testing</t>
        </is>
      </c>
      <c r="C36" s="11" t="inlineStr">
        <is>
          <t>Testing, circuit directory, labeling</t>
        </is>
      </c>
      <c r="D36" s="28">
        <f>'Quantity Takeoff'!H39</f>
        <v>1.0</v>
      </c>
      <c r="E36" s="8" t="inlineStr">
        <is>
          <t>LS</t>
        </is>
      </c>
      <c r="F36" s="29" t="n">
        <v>150</v>
      </c>
      <c r="G36" s="30">
        <f>D36*F36</f>
        <v>150.0</v>
      </c>
      <c r="H36" s="31" t="n">
        <v>16</v>
      </c>
      <c r="I36" s="32">
        <f>D36*H36</f>
        <v>16.0</v>
      </c>
      <c r="J36" s="33">
        <f>rate_elec</f>
        <v>82.0</v>
      </c>
      <c r="K36" s="30">
        <f>I36*J36</f>
        <v>1312.0</v>
      </c>
      <c r="L36" s="29" t="n">
        <v>0</v>
      </c>
      <c r="M36" s="30">
        <f>D36*L36</f>
        <v>0.0</v>
      </c>
      <c r="N36" s="34">
        <f>G36+K36+M36</f>
        <v>1462.0</v>
      </c>
    </row>
    <row r="37">
      <c r="C37" s="19" t="inlineStr">
        <is>
          <t>Direct cost totals</t>
        </is>
      </c>
      <c r="G37" s="35">
        <f>SUM(G6:G36)</f>
        <v>28082.181</v>
      </c>
      <c r="I37" s="36">
        <f>SUM(I6:I36)</f>
        <v>472.08215</v>
      </c>
      <c r="K37" s="35">
        <f>SUM(K6:K36)</f>
        <v>38710.736300000004</v>
      </c>
      <c r="M37" s="35">
        <f>SUM(M6:M36)</f>
        <v>0.0</v>
      </c>
      <c r="N37" s="35">
        <f>SUM(N6:N36)</f>
        <v>66792.9173</v>
      </c>
    </row>
  </sheetData>
  <mergeCells count="1">
    <mergeCell ref="A3:N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5" customWidth="1" min="3" max="3"/>
    <col width="11" customWidth="1" min="4" max="4"/>
    <col width="15" customWidth="1" min="5" max="5"/>
    <col width="14" customWidth="1" min="6" max="6"/>
    <col width="16" customWidth="1" min="7" max="7"/>
  </cols>
  <sheetData>
    <row r="1">
      <c r="A1" s="1" t="inlineStr">
        <is>
          <t>F&amp;K Estimatings</t>
        </is>
      </c>
    </row>
    <row r="2">
      <c r="A2" s="2" t="inlineStr">
        <is>
          <t>Electrical Takeoff Sample — Summary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 ht="26" customHeight="1">
      <c r="A5" s="7" t="inlineStr">
        <is>
          <t>Group</t>
        </is>
      </c>
      <c r="B5" s="7" t="inlineStr">
        <is>
          <t>Line items</t>
        </is>
      </c>
      <c r="C5" s="7" t="inlineStr">
        <is>
          <t>Material $</t>
        </is>
      </c>
      <c r="D5" s="7" t="inlineStr">
        <is>
          <t>Labor hrs</t>
        </is>
      </c>
      <c r="E5" s="7" t="inlineStr">
        <is>
          <t>Labor $</t>
        </is>
      </c>
      <c r="F5" s="7" t="inlineStr">
        <is>
          <t>Equipment $</t>
        </is>
      </c>
      <c r="G5" s="7" t="inlineStr">
        <is>
          <t>Total $</t>
        </is>
      </c>
    </row>
    <row r="6">
      <c r="A6" s="8" t="inlineStr">
        <is>
          <t>Distribution</t>
        </is>
      </c>
      <c r="B6" s="8">
        <f>COUNTIF(Pricing!$B$6:$B$36,A6)</f>
        <v>7.0</v>
      </c>
      <c r="C6" s="30">
        <f>SUMIF(Pricing!$B$6:$B$36,$A6,Pricing!$G$6:$G$36)</f>
        <v>8289.35</v>
      </c>
      <c r="D6" s="32">
        <f>SUMIF(Pricing!$B$6:$B$36,$A6,Pricing!$I$6:$I$36)</f>
        <v>48.5969</v>
      </c>
      <c r="E6" s="30">
        <f>SUMIF(Pricing!$B$6:$B$36,$A6,Pricing!$K$6:$K$36)</f>
        <v>3984.9458</v>
      </c>
      <c r="F6" s="30">
        <f>SUMIF(Pricing!$B$6:$B$36,$A6,Pricing!$M$6:$M$36)</f>
        <v>0.0</v>
      </c>
      <c r="G6" s="30">
        <f>SUMIF(Pricing!$B$6:$B$36,$A6,Pricing!$N$6:$N$36)</f>
        <v>12274.2958</v>
      </c>
    </row>
    <row r="7">
      <c r="A7" s="8" t="inlineStr">
        <is>
          <t>Raceway</t>
        </is>
      </c>
      <c r="B7" s="8">
        <f>COUNTIF(Pricing!$B$6:$B$36,A7)</f>
        <v>7.0</v>
      </c>
      <c r="C7" s="30">
        <f>SUMIF(Pricing!$B$6:$B$36,$A7,Pricing!$G$6:$G$36)</f>
        <v>5363.975</v>
      </c>
      <c r="D7" s="32">
        <f>SUMIF(Pricing!$B$6:$B$36,$A7,Pricing!$I$6:$I$36)</f>
        <v>187.965</v>
      </c>
      <c r="E7" s="30">
        <f>SUMIF(Pricing!$B$6:$B$36,$A7,Pricing!$K$6:$K$36)</f>
        <v>15413.130000000001</v>
      </c>
      <c r="F7" s="30">
        <f>SUMIF(Pricing!$B$6:$B$36,$A7,Pricing!$M$6:$M$36)</f>
        <v>0.0</v>
      </c>
      <c r="G7" s="30">
        <f>SUMIF(Pricing!$B$6:$B$36,$A7,Pricing!$N$6:$N$36)</f>
        <v>20777.105</v>
      </c>
    </row>
    <row r="8">
      <c r="A8" s="8" t="inlineStr">
        <is>
          <t>Wire</t>
        </is>
      </c>
      <c r="B8" s="8">
        <f>COUNTIF(Pricing!$B$6:$B$36,A8)</f>
        <v>4.0</v>
      </c>
      <c r="C8" s="30">
        <f>SUMIF(Pricing!$B$6:$B$36,$A8,Pricing!$G$6:$G$36)</f>
        <v>4543.856</v>
      </c>
      <c r="D8" s="32">
        <f>SUMIF(Pricing!$B$6:$B$36,$A8,Pricing!$I$6:$I$36)</f>
        <v>99.02024999999999</v>
      </c>
      <c r="E8" s="30">
        <f>SUMIF(Pricing!$B$6:$B$36,$A8,Pricing!$K$6:$K$36)</f>
        <v>8119.660499999999</v>
      </c>
      <c r="F8" s="30">
        <f>SUMIF(Pricing!$B$6:$B$36,$A8,Pricing!$M$6:$M$36)</f>
        <v>0.0</v>
      </c>
      <c r="G8" s="30">
        <f>SUMIF(Pricing!$B$6:$B$36,$A8,Pricing!$N$6:$N$36)</f>
        <v>12663.5165</v>
      </c>
    </row>
    <row r="9">
      <c r="A9" s="8" t="inlineStr">
        <is>
          <t>Wiring devices</t>
        </is>
      </c>
      <c r="B9" s="8">
        <f>COUNTIF(Pricing!$B$6:$B$36,A9)</f>
        <v>6.0</v>
      </c>
      <c r="C9" s="30">
        <f>SUMIF(Pricing!$B$6:$B$36,$A9,Pricing!$G$6:$G$36)</f>
        <v>1301.0</v>
      </c>
      <c r="D9" s="32">
        <f>SUMIF(Pricing!$B$6:$B$36,$A9,Pricing!$I$6:$I$36)</f>
        <v>31.4</v>
      </c>
      <c r="E9" s="30">
        <f>SUMIF(Pricing!$B$6:$B$36,$A9,Pricing!$K$6:$K$36)</f>
        <v>2574.7999999999997</v>
      </c>
      <c r="F9" s="30">
        <f>SUMIF(Pricing!$B$6:$B$36,$A9,Pricing!$M$6:$M$36)</f>
        <v>0.0</v>
      </c>
      <c r="G9" s="30">
        <f>SUMIF(Pricing!$B$6:$B$36,$A9,Pricing!$N$6:$N$36)</f>
        <v>3875.8</v>
      </c>
    </row>
    <row r="10">
      <c r="A10" s="8" t="inlineStr">
        <is>
          <t>Lighting</t>
        </is>
      </c>
      <c r="B10" s="8">
        <f>COUNTIF(Pricing!$B$6:$B$36,A10)</f>
        <v>5.0</v>
      </c>
      <c r="C10" s="30">
        <f>SUMIF(Pricing!$B$6:$B$36,$A10,Pricing!$G$6:$G$36)</f>
        <v>8309.0</v>
      </c>
      <c r="D10" s="32">
        <f>SUMIF(Pricing!$B$6:$B$36,$A10,Pricing!$I$6:$I$36)</f>
        <v>81.60000000000001</v>
      </c>
      <c r="E10" s="30">
        <f>SUMIF(Pricing!$B$6:$B$36,$A10,Pricing!$K$6:$K$36)</f>
        <v>6691.200000000001</v>
      </c>
      <c r="F10" s="30">
        <f>SUMIF(Pricing!$B$6:$B$36,$A10,Pricing!$M$6:$M$36)</f>
        <v>0.0</v>
      </c>
      <c r="G10" s="30">
        <f>SUMIF(Pricing!$B$6:$B$36,$A10,Pricing!$N$6:$N$36)</f>
        <v>15000.2</v>
      </c>
    </row>
    <row r="11">
      <c r="A11" s="8" t="inlineStr">
        <is>
          <t>Equipment connections &amp; testing</t>
        </is>
      </c>
      <c r="B11" s="8">
        <f>COUNTIF(Pricing!$B$6:$B$36,A11)</f>
        <v>2.0</v>
      </c>
      <c r="C11" s="30">
        <f>SUMIF(Pricing!$B$6:$B$36,$A11,Pricing!$G$6:$G$36)</f>
        <v>275.0</v>
      </c>
      <c r="D11" s="32">
        <f>SUMIF(Pricing!$B$6:$B$36,$A11,Pricing!$I$6:$I$36)</f>
        <v>23.5</v>
      </c>
      <c r="E11" s="30">
        <f>SUMIF(Pricing!$B$6:$B$36,$A11,Pricing!$K$6:$K$36)</f>
        <v>1927.0</v>
      </c>
      <c r="F11" s="30">
        <f>SUMIF(Pricing!$B$6:$B$36,$A11,Pricing!$M$6:$M$36)</f>
        <v>0.0</v>
      </c>
      <c r="G11" s="30">
        <f>SUMIF(Pricing!$B$6:$B$36,$A11,Pricing!$N$6:$N$36)</f>
        <v>2202.0</v>
      </c>
    </row>
    <row r="12">
      <c r="A12" s="19" t="inlineStr">
        <is>
          <t>Direct cost subtotal</t>
        </is>
      </c>
      <c r="C12" s="35">
        <f>SUM(C6:C11)</f>
        <v>28082.181</v>
      </c>
      <c r="D12" s="36">
        <f>SUM(D6:D11)</f>
        <v>472.08215</v>
      </c>
      <c r="E12" s="35">
        <f>SUM(E6:E11)</f>
        <v>38710.736300000004</v>
      </c>
      <c r="F12" s="35">
        <f>SUM(F6:F11)</f>
        <v>0.0</v>
      </c>
      <c r="G12" s="35">
        <f>SUM(G6:G11)</f>
        <v>66792.9173</v>
      </c>
    </row>
    <row r="13">
      <c r="A13" s="37" t="inlineStr">
        <is>
          <t>Markups (percentages are stated assumptions — see Cover &amp; Basis)</t>
        </is>
      </c>
    </row>
    <row r="14">
      <c r="A14" s="5" t="inlineStr">
        <is>
          <t>Sales tax on material (7.0% of material)</t>
        </is>
      </c>
      <c r="F14" s="38">
        <f>tax_rate</f>
        <v>0.07</v>
      </c>
      <c r="G14" s="39">
        <f>C12*F14</f>
        <v>1965.7526700000003</v>
      </c>
    </row>
    <row r="15">
      <c r="A15" s="23" t="inlineStr">
        <is>
          <t>Running subtotal</t>
        </is>
      </c>
      <c r="G15" s="39">
        <f>G12+G14</f>
        <v>68758.66997</v>
      </c>
    </row>
    <row r="16">
      <c r="A16" s="5" t="inlineStr">
        <is>
          <t>Overhead (10.0% of running subtotal)</t>
        </is>
      </c>
      <c r="F16" s="38">
        <f>oh_pct</f>
        <v>0.1</v>
      </c>
      <c r="G16" s="39">
        <f>G15*F16</f>
        <v>6875.866997000001</v>
      </c>
    </row>
    <row r="17">
      <c r="A17" s="23" t="inlineStr">
        <is>
          <t>Running subtotal</t>
        </is>
      </c>
      <c r="G17" s="39">
        <f>G15+G16</f>
        <v>75634.53696700001</v>
      </c>
    </row>
    <row r="18">
      <c r="A18" s="5" t="inlineStr">
        <is>
          <t>Profit (10.0% of running subtotal)</t>
        </is>
      </c>
      <c r="F18" s="38">
        <f>profit_pct</f>
        <v>0.1</v>
      </c>
      <c r="G18" s="39">
        <f>G17*F18</f>
        <v>7563.453696700001</v>
      </c>
    </row>
    <row r="19">
      <c r="A19" s="23" t="inlineStr">
        <is>
          <t>Running subtotal</t>
        </is>
      </c>
      <c r="G19" s="39">
        <f>G17+G18</f>
        <v>83197.99066370001</v>
      </c>
    </row>
    <row r="20">
      <c r="A20" s="19" t="inlineStr">
        <is>
          <t>SAMPLE TOTAL (illustrative)</t>
        </is>
      </c>
      <c r="G20" s="40">
        <f>G19</f>
        <v>83197.99066370001</v>
      </c>
    </row>
    <row r="21">
      <c r="A21" s="5" t="inlineStr">
        <is>
          <t>Cost per SF</t>
        </is>
      </c>
      <c r="G21" s="39">
        <f>G20/gross_sf</f>
        <v>13.866331777283335</v>
      </c>
    </row>
    <row r="23" ht="40" customHeight="1">
      <c r="A23" s="41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</sheetData>
  <mergeCells count="2">
    <mergeCell ref="A3:G3"/>
    <mergeCell ref="A23:G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2026-09-26T09:13:06Z</dcterms:created>
  <dcterms:modified xsi:type="dcterms:W3CDTF">2026-09-26T09:13:06Z</dcterms:modified>
</cp:coreProperties>
</file>