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 &amp; Basis" sheetId="1" state="visible" r:id="rId1"/>
    <sheet name="Partition Assembly Schedule" sheetId="2" state="visible" r:id="rId2"/>
    <sheet name="Quantity Takeoff" sheetId="3" state="visible" r:id="rId3"/>
    <sheet name="Pricing" sheetId="4" state="visible" r:id="rId4"/>
    <sheet name="Summary" sheetId="5" state="visible" r:id="rId5"/>
  </sheets>
  <definedNames>
    <definedName name="gross_sf">'Cover &amp; Basis'!$D$12</definedName>
    <definedName name="deck_ht">'Cover &amp; Basis'!$D$13</definedName>
    <definedName name="act_ht">'Cover &amp; Basis'!$D$14</definedName>
    <definedName name="p1_ht">'Cover &amp; Basis'!$D$15</definedName>
    <definedName name="p2_ht">'Cover &amp; Basis'!$D$16</definedName>
    <definedName name="perim_lf">'Cover &amp; Basis'!$D$17</definedName>
    <definedName name="p1_lf">'Cover &amp; Basis'!$D$18</definedName>
    <definedName name="p2_lf">'Cover &amp; Basis'!$D$19</definedName>
    <definedName name="p3_lf">'Cover &amp; Basis'!$D$20</definedName>
    <definedName name="n_doors">'Cover &amp; Basis'!$D$21</definedName>
    <definedName name="door_wd">'Cover &amp; Basis'!$D$22</definedName>
    <definedName name="door_ht">'Cover &amp; Basis'!$D$23</definedName>
    <definedName name="door_ded_sf">'Cover &amp; Basis'!$D$24</definedName>
    <definedName name="drywall_ceil_sf">'Cover &amp; Basis'!$D$25</definedName>
    <definedName name="elec_ceil_sf">'Cover &amp; Basis'!$D$26</definedName>
    <definedName name="act_ceil_sf">'Cover &amp; Basis'!$D$27</definedName>
    <definedName name="grid_perim_lf">'Cover &amp; Basis'!$D$28</definedName>
    <definedName name="stud_oc">'Cover &amp; Basis'!$D$29</definedName>
    <definedName name="stud_factor">'Cover &amp; Basis'!$D$30</definedName>
    <definedName name="screw_p_sf">'Cover &amp; Basis'!$D$31</definedName>
    <definedName name="tape_p_sf">'Cover &amp; Basis'!$D$32</definedName>
    <definedName name="mud_p_sf">'Cover &amp; Basis'!$D$33</definedName>
    <definedName name="board_sf">'Cover &amp; Basis'!$D$34</definedName>
    <definedName name="crnr_bead_lf">'Cover &amp; Basis'!$D$35</definedName>
    <definedName name="rate_framing">'Cover &amp; Basis'!$D$36</definedName>
    <definedName name="rate_hanger">'Cover &amp; Basis'!$D$37</definedName>
    <definedName name="rate_finisher">'Cover &amp; Basis'!$D$38</definedName>
    <definedName name="rate_ceiling">'Cover &amp; Basis'!$D$39</definedName>
    <definedName name="tax_rate">'Cover &amp; Basis'!$D$40</definedName>
    <definedName name="oh_pct">'Cover &amp; Basis'!$D$41</definedName>
    <definedName name="profit_pct">'Cover &amp; Basis'!$D$42</definedName>
    <definedName name="p1_studs">'Quantity Takeoff'!$E$6</definedName>
    <definedName name="p1_studs_w">'Quantity Takeoff'!$H$6</definedName>
    <definedName name="p1_track">'Quantity Takeoff'!$E$7</definedName>
    <definedName name="p1_track_w">'Quantity Takeoff'!$H$7</definedName>
    <definedName name="p2_studs">'Quantity Takeoff'!$E$8</definedName>
    <definedName name="p2_studs_w">'Quantity Takeoff'!$H$8</definedName>
    <definedName name="p2_track">'Quantity Takeoff'!$E$9</definedName>
    <definedName name="p2_track_w">'Quantity Takeoff'!$H$9</definedName>
    <definedName name="p3_furring">'Quantity Takeoff'!$E$10</definedName>
    <definedName name="p3_furring_w">'Quantity Takeoff'!$H$10</definedName>
    <definedName name="p1_batt">'Quantity Takeoff'!$E$12</definedName>
    <definedName name="p1_batt_w">'Quantity Takeoff'!$H$12</definedName>
    <definedName name="p2_batt">'Quantity Takeoff'!$E$13</definedName>
    <definedName name="p2_batt_w">'Quantity Takeoff'!$H$13</definedName>
    <definedName name="gross_gwb">'Quantity Takeoff'!$E$16</definedName>
    <definedName name="gross_gwb_w">'Quantity Takeoff'!$H$16</definedName>
    <definedName name="ded_gwb">'Quantity Takeoff'!$E$17</definedName>
    <definedName name="ded_gwb_w">'Quantity Takeoff'!$H$17</definedName>
    <definedName name="net_wall_gwb">'Quantity Takeoff'!$E$18</definedName>
    <definedName name="net_wall_gwb_w">'Quantity Takeoff'!$H$18</definedName>
    <definedName name="gwb_reg">'Quantity Takeoff'!$E$19</definedName>
    <definedName name="gwb_reg_w">'Quantity Takeoff'!$H$19</definedName>
    <definedName name="gwb_mr">'Quantity Takeoff'!$E$20</definedName>
    <definedName name="gwb_mr_w">'Quantity Takeoff'!$H$20</definedName>
    <definedName name="gwb_ceil">'Quantity Takeoff'!$E$21</definedName>
    <definedName name="gwb_ceil_w">'Quantity Takeoff'!$H$21</definedName>
    <definedName name="fin_l4">'Quantity Takeoff'!$E$23</definedName>
    <definedName name="fin_l4_w">'Quantity Takeoff'!$H$23</definedName>
    <definedName name="fin_l1">'Quantity Takeoff'!$E$24</definedName>
    <definedName name="fin_l1_w">'Quantity Takeoff'!$H$24</definedName>
    <definedName name="bead_lf">'Quantity Takeoff'!$E$25</definedName>
    <definedName name="bead_lf_w">'Quantity Takeoff'!$H$25</definedName>
    <definedName name="act_tile">'Quantity Takeoff'!$E$27</definedName>
    <definedName name="act_tile_w">'Quantity Takeoff'!$H$27</definedName>
    <definedName name="act_grid">'Quantity Takeoff'!$E$28</definedName>
    <definedName name="act_grid_w">'Quantity Takeoff'!$H$28</definedName>
    <definedName name="_xlnm._FilterDatabase" localSheetId="2" hidden="1">'Quantity Takeoff'!$A$5:$J$31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#,##0.####"/>
    <numFmt numFmtId="165" formatCode="0.0%"/>
    <numFmt numFmtId="166" formatCode="0.0"/>
    <numFmt numFmtId="167" formatCode="#,##0.00;(#,##0.00);&quot;-&quot;"/>
    <numFmt numFmtId="168" formatCode="$#,##0.00;($#,##0.00);&quot;-&quot;"/>
    <numFmt numFmtId="169" formatCode="0.0000"/>
    <numFmt numFmtId="170" formatCode="#,##0.0"/>
    <numFmt numFmtId="171" formatCode="$#,##0;($#,##0);&quot;-&quot;"/>
  </numFmts>
  <fonts count="15">
    <font>
      <name val="Calibri"/>
      <family val="2"/>
      <color theme="1"/>
      <sz val="11"/>
      <scheme val="minor"/>
    </font>
    <font>
      <name val="Arial"/>
      <b val="1"/>
      <color rgb="00FF6B35"/>
      <sz val="16"/>
    </font>
    <font>
      <name val="Arial"/>
      <b val="1"/>
      <color rgb="000B132B"/>
      <sz val="12"/>
    </font>
    <font>
      <name val="Arial"/>
      <i val="1"/>
      <color rgb="007A2E0E"/>
      <sz val="8"/>
    </font>
    <font>
      <name val="Arial"/>
      <b val="1"/>
      <sz val="9"/>
    </font>
    <font>
      <name val="Arial"/>
      <sz val="9"/>
    </font>
    <font>
      <name val="Arial"/>
      <b val="1"/>
      <color rgb="00FFFFFF"/>
      <sz val="9"/>
    </font>
    <font>
      <name val="Consolas"/>
      <color rgb="00555555"/>
      <sz val="9"/>
    </font>
    <font>
      <name val="Arial"/>
      <color rgb="000000FF"/>
      <sz val="9"/>
    </font>
    <font>
      <name val="Arial"/>
      <color rgb="00555555"/>
      <sz val="8"/>
    </font>
    <font>
      <name val="Consolas"/>
      <color rgb="00444444"/>
      <sz val="8"/>
    </font>
    <font>
      <name val="Arial"/>
      <sz val="8"/>
    </font>
    <font>
      <name val="Arial"/>
      <color rgb="00008000"/>
      <sz val="9"/>
    </font>
    <font>
      <name val="Arial"/>
      <i val="1"/>
      <color rgb="00555555"/>
      <sz val="8"/>
    </font>
    <font>
      <name val="Arial"/>
      <i val="1"/>
      <sz val="8"/>
    </font>
  </fonts>
  <fills count="5">
    <fill>
      <patternFill/>
    </fill>
    <fill>
      <patternFill patternType="gray125"/>
    </fill>
    <fill>
      <patternFill patternType="solid">
        <fgColor rgb="00FFF5F0"/>
      </patternFill>
    </fill>
    <fill>
      <patternFill patternType="solid">
        <fgColor rgb="000B132B"/>
      </patternFill>
    </fill>
    <fill>
      <patternFill patternType="solid">
        <fgColor rgb="00FFE3D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5" fillId="0" borderId="1" pivotButton="0" quotePrefix="0" xfId="0"/>
    <xf numFmtId="0" fontId="7" fillId="0" borderId="1" pivotButton="0" quotePrefix="0" xfId="0"/>
    <xf numFmtId="164" fontId="5" fillId="0" borderId="1" pivotButton="0" quotePrefix="0" xfId="0"/>
    <xf numFmtId="0" fontId="5" fillId="0" borderId="1" applyAlignment="1" pivotButton="0" quotePrefix="0" xfId="0">
      <alignment vertical="top" wrapText="1"/>
    </xf>
    <xf numFmtId="164" fontId="8" fillId="0" borderId="1" pivotButton="0" quotePrefix="0" xfId="0"/>
    <xf numFmtId="165" fontId="8" fillId="0" borderId="1" pivotButton="0" quotePrefix="0" xfId="0"/>
    <xf numFmtId="0" fontId="9" fillId="0" borderId="0" applyAlignment="1" pivotButton="0" quotePrefix="0" xfId="0">
      <alignment vertical="top" wrapText="1"/>
    </xf>
    <xf numFmtId="166" fontId="8" fillId="0" borderId="1" pivotButton="0" quotePrefix="0" xfId="0"/>
    <xf numFmtId="166" fontId="5" fillId="0" borderId="1" pivotButton="0" quotePrefix="0" xfId="0"/>
    <xf numFmtId="1" fontId="8" fillId="0" borderId="1" pivotButton="0" quotePrefix="0" xfId="0"/>
    <xf numFmtId="3" fontId="5" fillId="0" borderId="1" pivotButton="0" quotePrefix="0" xfId="0"/>
    <xf numFmtId="0" fontId="4" fillId="4" borderId="0" pivotButton="0" quotePrefix="0" xfId="0"/>
    <xf numFmtId="166" fontId="4" fillId="4" borderId="0" pivotButton="0" quotePrefix="0" xfId="0"/>
    <xf numFmtId="3" fontId="4" fillId="4" borderId="0" pivotButton="0" quotePrefix="0" xfId="0"/>
    <xf numFmtId="0" fontId="9" fillId="0" borderId="0" pivotButton="0" quotePrefix="0" xfId="0"/>
    <xf numFmtId="167" fontId="5" fillId="0" borderId="1" pivotButton="0" quotePrefix="0" xfId="0"/>
    <xf numFmtId="167" fontId="4" fillId="0" borderId="1" pivotButton="0" quotePrefix="0" xfId="0"/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167" fontId="12" fillId="0" borderId="1" pivotButton="0" quotePrefix="0" xfId="0"/>
    <xf numFmtId="168" fontId="8" fillId="0" borderId="1" pivotButton="0" quotePrefix="0" xfId="0"/>
    <xf numFmtId="168" fontId="5" fillId="0" borderId="1" pivotButton="0" quotePrefix="0" xfId="0"/>
    <xf numFmtId="169" fontId="8" fillId="0" borderId="1" pivotButton="0" quotePrefix="0" xfId="0"/>
    <xf numFmtId="170" fontId="5" fillId="0" borderId="1" pivotButton="0" quotePrefix="0" xfId="0"/>
    <xf numFmtId="168" fontId="12" fillId="0" borderId="1" pivotButton="0" quotePrefix="0" xfId="0"/>
    <xf numFmtId="168" fontId="4" fillId="0" borderId="1" pivotButton="0" quotePrefix="0" xfId="0"/>
    <xf numFmtId="168" fontId="4" fillId="4" borderId="0" pivotButton="0" quotePrefix="0" xfId="0"/>
    <xf numFmtId="170" fontId="4" fillId="4" borderId="0" pivotButton="0" quotePrefix="0" xfId="0"/>
    <xf numFmtId="0" fontId="13" fillId="0" borderId="0" pivotButton="0" quotePrefix="0" xfId="0"/>
    <xf numFmtId="165" fontId="12" fillId="0" borderId="0" pivotButton="0" quotePrefix="0" xfId="0"/>
    <xf numFmtId="168" fontId="5" fillId="0" borderId="0" pivotButton="0" quotePrefix="0" xfId="0"/>
    <xf numFmtId="171" fontId="4" fillId="4" borderId="0" pivotButton="0" quotePrefix="0" xfId="0"/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22" customWidth="1" min="3" max="3"/>
    <col width="14" customWidth="1" min="4" max="4"/>
    <col width="10" customWidth="1" min="5" max="5"/>
    <col width="60" customWidth="1" min="6" max="6"/>
  </cols>
  <sheetData>
    <row r="1">
      <c r="A1" s="1" t="inlineStr">
        <is>
          <t>F&amp;K Estimatings</t>
        </is>
      </c>
    </row>
    <row r="2">
      <c r="A2" s="2" t="inlineStr">
        <is>
          <t>Drywall &amp; Framing Takeoff Sample — Cover &amp; Basis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5">
      <c r="A5" s="4" t="inlineStr">
        <is>
          <t>Project</t>
        </is>
      </c>
      <c r="B5" s="4" t="inlineStr">
        <is>
          <t>Representative sample project: 6,000 SF office tenant fit-out in a 100' x 60' single-story building</t>
        </is>
      </c>
    </row>
    <row r="6">
      <c r="A6" s="4" t="inlineStr">
        <is>
          <t>Trade / CSI</t>
        </is>
      </c>
      <c r="B6" s="5" t="inlineStr">
        <is>
          <t>Drywall &amp; Acoustic — CSI Division 09</t>
        </is>
      </c>
    </row>
    <row r="7" ht="60" customHeight="1">
      <c r="A7" s="4" t="inlineStr">
        <is>
          <t>Description</t>
        </is>
      </c>
      <c r="B7" s="6" t="inlineStr">
        <is>
          <t>Metal stud framing, gypsum board assemblies, sound insulation and acoustical ceilings for the sample 6,000 SF commercial tenant fit-out. Partitions include Type P1 standard office walls (3-5/8" 25 ga studs to 10'-0", 1' above the 9'-0" ceiling), Type P2 full-height deck-to-deck sound/demising walls (3-5/8" 20 ga studs to 16'-0" metal deck with mineral wool fire-safing and acoustic sealant), and Type P3 furring on exterior perimeter walls. Ceilings include 2x2 acoustic tile in open office and private offices, plus suspended moisture-resistant drywall ceilings in restrooms.</t>
        </is>
      </c>
    </row>
    <row r="8">
      <c r="A8" s="4" t="inlineStr">
        <is>
          <t>Prepared by</t>
        </is>
      </c>
      <c r="B8" s="5" t="inlineStr">
        <is>
          <t>F&amp;K Estimatings (fandkestimatings.us) — sample for format illustration only</t>
        </is>
      </c>
    </row>
    <row r="10">
      <c r="A10" s="2" t="inlineStr">
        <is>
          <t>ASSUMPTIONS &amp; BASIS — blue values are inputs; change one and the workbook recalculates</t>
        </is>
      </c>
    </row>
    <row r="11" ht="26" customHeight="1">
      <c r="A11" s="7" t="inlineStr">
        <is>
          <t>Section</t>
        </is>
      </c>
      <c r="B11" s="7" t="inlineStr">
        <is>
          <t>Parameter</t>
        </is>
      </c>
      <c r="C11" s="7" t="inlineStr">
        <is>
          <t>Name used in formulas</t>
        </is>
      </c>
      <c r="D11" s="7" t="inlineStr">
        <is>
          <t>Value</t>
        </is>
      </c>
      <c r="E11" s="7" t="inlineStr">
        <is>
          <t>Unit</t>
        </is>
      </c>
      <c r="F11" s="7" t="inlineStr">
        <is>
          <t>Note / basis</t>
        </is>
      </c>
    </row>
    <row r="12">
      <c r="A12" s="8" t="inlineStr">
        <is>
          <t>Building</t>
        </is>
      </c>
      <c r="B12" s="8" t="inlineStr">
        <is>
          <t>Tenant area</t>
        </is>
      </c>
      <c r="C12" s="9" t="inlineStr">
        <is>
          <t>gross_sf</t>
        </is>
      </c>
      <c r="D12" s="10">
        <f>100*60</f>
        <v>6000.0</v>
      </c>
      <c r="E12" s="8" t="inlineStr">
        <is>
          <t>SF</t>
        </is>
      </c>
      <c r="F12" s="11" t="inlineStr">
        <is>
          <t>100' x 60'</t>
        </is>
      </c>
    </row>
    <row r="13">
      <c r="A13" s="8" t="inlineStr">
        <is>
          <t>Building</t>
        </is>
      </c>
      <c r="B13" s="8" t="inlineStr">
        <is>
          <t>Structure deck height</t>
        </is>
      </c>
      <c r="C13" s="9" t="inlineStr">
        <is>
          <t>deck_ht</t>
        </is>
      </c>
      <c r="D13" s="12" t="n">
        <v>16</v>
      </c>
      <c r="E13" s="8" t="inlineStr">
        <is>
          <t>ft</t>
        </is>
      </c>
      <c r="F13" s="11" t="inlineStr">
        <is>
          <t>Bottom of metal roof deck</t>
        </is>
      </c>
    </row>
    <row r="14">
      <c r="A14" s="8" t="inlineStr">
        <is>
          <t>Building</t>
        </is>
      </c>
      <c r="B14" s="8" t="inlineStr">
        <is>
          <t>Acoustical ceiling height</t>
        </is>
      </c>
      <c r="C14" s="9" t="inlineStr">
        <is>
          <t>act_ht</t>
        </is>
      </c>
      <c r="D14" s="12" t="n">
        <v>9</v>
      </c>
      <c r="E14" s="8" t="inlineStr">
        <is>
          <t>ft</t>
        </is>
      </c>
      <c r="F14" s="11" t="inlineStr">
        <is>
          <t>9'-0" AFF</t>
        </is>
      </c>
    </row>
    <row r="15">
      <c r="A15" s="8" t="inlineStr">
        <is>
          <t>Building</t>
        </is>
      </c>
      <c r="B15" s="8" t="inlineStr">
        <is>
          <t>Partition P1 wall framing height</t>
        </is>
      </c>
      <c r="C15" s="9" t="inlineStr">
        <is>
          <t>p1_ht</t>
        </is>
      </c>
      <c r="D15" s="12" t="n">
        <v>10</v>
      </c>
      <c r="E15" s="8" t="inlineStr">
        <is>
          <t>ft</t>
        </is>
      </c>
      <c r="F15" s="11" t="inlineStr">
        <is>
          <t>1'-0" above ACT for return air</t>
        </is>
      </c>
    </row>
    <row r="16">
      <c r="A16" s="8" t="inlineStr">
        <is>
          <t>Building</t>
        </is>
      </c>
      <c r="B16" s="8" t="inlineStr">
        <is>
          <t>Partition P2 wall framing height</t>
        </is>
      </c>
      <c r="C16" s="9" t="inlineStr">
        <is>
          <t>p2_ht</t>
        </is>
      </c>
      <c r="D16" s="12" t="n">
        <v>16</v>
      </c>
      <c r="E16" s="8" t="inlineStr">
        <is>
          <t>ft</t>
        </is>
      </c>
      <c r="F16" s="11" t="inlineStr">
        <is>
          <t>Deck to deck 16'-0"</t>
        </is>
      </c>
    </row>
    <row r="17">
      <c r="A17" s="8" t="inlineStr">
        <is>
          <t>Building</t>
        </is>
      </c>
      <c r="B17" s="8" t="inlineStr">
        <is>
          <t>Exterior perimeter length</t>
        </is>
      </c>
      <c r="C17" s="9" t="inlineStr">
        <is>
          <t>perim_lf</t>
        </is>
      </c>
      <c r="D17" s="10">
        <f>2*(100+60)</f>
        <v>320.0</v>
      </c>
      <c r="E17" s="8" t="inlineStr">
        <is>
          <t>LF</t>
        </is>
      </c>
      <c r="F17" s="11" t="inlineStr">
        <is>
          <t>Exterior wall furring</t>
        </is>
      </c>
    </row>
    <row r="18">
      <c r="A18" s="8" t="inlineStr">
        <is>
          <t>Partition LF</t>
        </is>
      </c>
      <c r="B18" s="8" t="inlineStr">
        <is>
          <t>Type P1 partition linear footage</t>
        </is>
      </c>
      <c r="C18" s="9" t="inlineStr">
        <is>
          <t>p1_lf</t>
        </is>
      </c>
      <c r="D18" s="10">
        <f>80+6*15+20+24</f>
        <v>214.0</v>
      </c>
      <c r="E18" s="8" t="inlineStr">
        <is>
          <t>LF</t>
        </is>
      </c>
      <c r="F18" s="11" t="inlineStr">
        <is>
          <t>Office fronts, demising, break</t>
        </is>
      </c>
    </row>
    <row r="19">
      <c r="A19" s="8" t="inlineStr">
        <is>
          <t>Partition LF</t>
        </is>
      </c>
      <c r="B19" s="8" t="inlineStr">
        <is>
          <t>Type P2 full-height linear footage</t>
        </is>
      </c>
      <c r="C19" s="9" t="inlineStr">
        <is>
          <t>p2_lf</t>
        </is>
      </c>
      <c r="D19" s="10">
        <f>36+4*12</f>
        <v>84.0</v>
      </c>
      <c r="E19" s="8" t="inlineStr">
        <is>
          <t>LF</t>
        </is>
      </c>
      <c r="F19" s="11" t="inlineStr">
        <is>
          <t>Support core, restrooms, IT room</t>
        </is>
      </c>
    </row>
    <row r="20">
      <c r="A20" s="8" t="inlineStr">
        <is>
          <t>Partition LF</t>
        </is>
      </c>
      <c r="B20" s="8" t="inlineStr">
        <is>
          <t>Type P3 perimeter furring linear footage</t>
        </is>
      </c>
      <c r="C20" s="9" t="inlineStr">
        <is>
          <t>p3_lf</t>
        </is>
      </c>
      <c r="D20" s="10">
        <f>perim_lf</f>
        <v>320.0</v>
      </c>
      <c r="E20" s="8" t="inlineStr">
        <is>
          <t>LF</t>
        </is>
      </c>
      <c r="F20" s="11" t="inlineStr">
        <is>
          <t>Furring on inside of exterior walls</t>
        </is>
      </c>
    </row>
    <row r="21">
      <c r="A21" s="8" t="inlineStr">
        <is>
          <t>Openings</t>
        </is>
      </c>
      <c r="B21" s="8" t="inlineStr">
        <is>
          <t>Interior commercial single doors</t>
        </is>
      </c>
      <c r="C21" s="9" t="inlineStr">
        <is>
          <t>n_doors</t>
        </is>
      </c>
      <c r="D21" s="12" t="n">
        <v>14</v>
      </c>
      <c r="E21" s="8" t="inlineStr">
        <is>
          <t>EA</t>
        </is>
      </c>
      <c r="F21" s="11" t="inlineStr">
        <is>
          <t>Office 101-105, Conf, Lobby, Break, Core</t>
        </is>
      </c>
    </row>
    <row r="22">
      <c r="A22" s="8" t="inlineStr">
        <is>
          <t>Openings</t>
        </is>
      </c>
      <c r="B22" s="8" t="inlineStr">
        <is>
          <t>Standard door opening width</t>
        </is>
      </c>
      <c r="C22" s="9" t="inlineStr">
        <is>
          <t>door_wd</t>
        </is>
      </c>
      <c r="D22" s="12" t="n">
        <v>3.17</v>
      </c>
      <c r="E22" s="8" t="inlineStr">
        <is>
          <t>ft</t>
        </is>
      </c>
      <c r="F22" s="11" t="inlineStr">
        <is>
          <t>3'-2" rough opening for 3070 door</t>
        </is>
      </c>
    </row>
    <row r="23">
      <c r="A23" s="8" t="inlineStr">
        <is>
          <t>Openings</t>
        </is>
      </c>
      <c r="B23" s="8" t="inlineStr">
        <is>
          <t>Standard door opening height</t>
        </is>
      </c>
      <c r="C23" s="9" t="inlineStr">
        <is>
          <t>door_ht</t>
        </is>
      </c>
      <c r="D23" s="12" t="n">
        <v>7.17</v>
      </c>
      <c r="E23" s="8" t="inlineStr">
        <is>
          <t>ft</t>
        </is>
      </c>
      <c r="F23" s="11" t="inlineStr">
        <is>
          <t>7'-2" rough opening for 3070 door</t>
        </is>
      </c>
    </row>
    <row r="24">
      <c r="A24" s="8" t="inlineStr">
        <is>
          <t>Openings</t>
        </is>
      </c>
      <c r="B24" s="8" t="inlineStr">
        <is>
          <t>Drywall area deduction per opening (2 sides)</t>
        </is>
      </c>
      <c r="C24" s="9" t="inlineStr">
        <is>
          <t>door_ded_sf</t>
        </is>
      </c>
      <c r="D24" s="10">
        <f>2*door_wd*door_ht</f>
        <v>45.4578</v>
      </c>
      <c r="E24" s="8" t="inlineStr">
        <is>
          <t>SF</t>
        </is>
      </c>
      <c r="F24" s="11" t="inlineStr">
        <is>
          <t>45.4 SF per door</t>
        </is>
      </c>
    </row>
    <row r="25">
      <c r="A25" s="8" t="inlineStr">
        <is>
          <t>Ceilings</t>
        </is>
      </c>
      <c r="B25" s="8" t="inlineStr">
        <is>
          <t>Suspended drywall ceiling area (restrooms/janitor)</t>
        </is>
      </c>
      <c r="C25" s="9" t="inlineStr">
        <is>
          <t>drywall_ceil_sf</t>
        </is>
      </c>
      <c r="D25" s="10">
        <f>11*12+11*12+6*12</f>
        <v>336.0</v>
      </c>
      <c r="E25" s="8" t="inlineStr">
        <is>
          <t>SF</t>
        </is>
      </c>
      <c r="F25" s="11" t="inlineStr">
        <is>
          <t>Restrooms 111, 112 &amp; Janitor 110</t>
        </is>
      </c>
    </row>
    <row r="26">
      <c r="A26" s="8" t="inlineStr">
        <is>
          <t>Ceilings</t>
        </is>
      </c>
      <c r="B26" s="8" t="inlineStr">
        <is>
          <t>Open ceiling area (Electrical / IT)</t>
        </is>
      </c>
      <c r="C26" s="9" t="inlineStr">
        <is>
          <t>elec_ceil_sf</t>
        </is>
      </c>
      <c r="D26" s="10">
        <f>8*12</f>
        <v>96.0</v>
      </c>
      <c r="E26" s="8" t="inlineStr">
        <is>
          <t>SF</t>
        </is>
      </c>
      <c r="F26" s="11" t="inlineStr">
        <is>
          <t>Exposed to structure</t>
        </is>
      </c>
    </row>
    <row r="27">
      <c r="A27" s="8" t="inlineStr">
        <is>
          <t>Ceilings</t>
        </is>
      </c>
      <c r="B27" s="8" t="inlineStr">
        <is>
          <t>Acoustical ceiling area (ACT 2x2)</t>
        </is>
      </c>
      <c r="C27" s="9" t="inlineStr">
        <is>
          <t>act_ceil_sf</t>
        </is>
      </c>
      <c r="D27" s="10">
        <f>gross_sf-drywall_ceil_sf-elec_ceil_sf</f>
        <v>5568.0</v>
      </c>
      <c r="E27" s="8" t="inlineStr">
        <is>
          <t>SF</t>
        </is>
      </c>
      <c r="F27" s="11" t="inlineStr">
        <is>
          <t>Remaining tenant area</t>
        </is>
      </c>
    </row>
    <row r="28">
      <c r="A28" s="8" t="inlineStr">
        <is>
          <t>Ceilings</t>
        </is>
      </c>
      <c r="B28" s="8" t="inlineStr">
        <is>
          <t>Ceiling wall angle perimeter</t>
        </is>
      </c>
      <c r="C28" s="9" t="inlineStr">
        <is>
          <t>grid_perim_lf</t>
        </is>
      </c>
      <c r="D28" s="10">
        <f>perim_lf+2*(p1_lf+p2_lf)</f>
        <v>916.0</v>
      </c>
      <c r="E28" s="8" t="inlineStr">
        <is>
          <t>LF</t>
        </is>
      </c>
      <c r="F28" s="11" t="inlineStr">
        <is>
          <t>Wall track / perimeter L-angle</t>
        </is>
      </c>
    </row>
    <row r="29">
      <c r="A29" s="8" t="inlineStr">
        <is>
          <t>Factors</t>
        </is>
      </c>
      <c r="B29" s="8" t="inlineStr">
        <is>
          <t>Metal stud spacing</t>
        </is>
      </c>
      <c r="C29" s="9" t="inlineStr">
        <is>
          <t>stud_oc</t>
        </is>
      </c>
      <c r="D29" s="12" t="n">
        <v>16</v>
      </c>
      <c r="E29" s="8" t="inlineStr">
        <is>
          <t>in</t>
        </is>
      </c>
      <c r="F29" s="11" t="inlineStr">
        <is>
          <t>16" on-center</t>
        </is>
      </c>
    </row>
    <row r="30">
      <c r="A30" s="8" t="inlineStr">
        <is>
          <t>Factors</t>
        </is>
      </c>
      <c r="B30" s="8" t="inlineStr">
        <is>
          <t>Stud count multiplier per LF</t>
        </is>
      </c>
      <c r="C30" s="9" t="inlineStr">
        <is>
          <t>stud_factor</t>
        </is>
      </c>
      <c r="D30" s="10">
        <f>12/stud_oc</f>
        <v>0.75</v>
      </c>
      <c r="E30" s="8" t="inlineStr">
        <is>
          <t>EA/LF</t>
        </is>
      </c>
      <c r="F30" s="11" t="inlineStr">
        <is>
          <t>0.75 studs/LF + corners/jambs</t>
        </is>
      </c>
    </row>
    <row r="31">
      <c r="A31" s="8" t="inlineStr">
        <is>
          <t>Factors</t>
        </is>
      </c>
      <c r="B31" s="8" t="inlineStr">
        <is>
          <t>Drywall screws per SF of board</t>
        </is>
      </c>
      <c r="C31" s="9" t="inlineStr">
        <is>
          <t>screw_p_sf</t>
        </is>
      </c>
      <c r="D31" s="12" t="n">
        <v>1</v>
      </c>
      <c r="E31" s="8" t="inlineStr">
        <is>
          <t>EA/SF</t>
        </is>
      </c>
      <c r="F31" s="11" t="inlineStr">
        <is>
          <t>Approx. 1 screw per SF (12" o.c.)</t>
        </is>
      </c>
    </row>
    <row r="32">
      <c r="A32" s="8" t="inlineStr">
        <is>
          <t>Factors</t>
        </is>
      </c>
      <c r="B32" s="8" t="inlineStr">
        <is>
          <t>Joint tape LF per SF of drywall</t>
        </is>
      </c>
      <c r="C32" s="9" t="inlineStr">
        <is>
          <t>tape_p_sf</t>
        </is>
      </c>
      <c r="D32" s="12" t="n">
        <v>0.85</v>
      </c>
      <c r="E32" s="8" t="inlineStr">
        <is>
          <t>LF/SF</t>
        </is>
      </c>
      <c r="F32" s="11" t="inlineStr">
        <is>
          <t>Industry standard rule of thumb</t>
        </is>
      </c>
    </row>
    <row r="33">
      <c r="A33" s="8" t="inlineStr">
        <is>
          <t>Factors</t>
        </is>
      </c>
      <c r="B33" s="8" t="inlineStr">
        <is>
          <t>Joint compound gal per SF (3-coat Level 4)</t>
        </is>
      </c>
      <c r="C33" s="9" t="inlineStr">
        <is>
          <t>mud_p_sf</t>
        </is>
      </c>
      <c r="D33" s="12" t="n">
        <v>0.055</v>
      </c>
      <c r="E33" s="8" t="inlineStr">
        <is>
          <t>GAL/SF</t>
        </is>
      </c>
      <c r="F33" s="11" t="inlineStr">
        <is>
          <t>~1.8 gal per 4x8 sheet</t>
        </is>
      </c>
    </row>
    <row r="34">
      <c r="A34" s="8" t="inlineStr">
        <is>
          <t>Factors</t>
        </is>
      </c>
      <c r="B34" s="8" t="inlineStr">
        <is>
          <t>Standard sheet area (4x10 sheet)</t>
        </is>
      </c>
      <c r="C34" s="9" t="inlineStr">
        <is>
          <t>board_sf</t>
        </is>
      </c>
      <c r="D34" s="12" t="n">
        <v>40</v>
      </c>
      <c r="E34" s="8" t="inlineStr">
        <is>
          <t>SF</t>
        </is>
      </c>
      <c r="F34" s="11" t="inlineStr">
        <is>
          <t>4'-0" x 10'-0" drywall sheets</t>
        </is>
      </c>
    </row>
    <row r="35">
      <c r="A35" s="8" t="inlineStr">
        <is>
          <t>Factors</t>
        </is>
      </c>
      <c r="B35" s="8" t="inlineStr">
        <is>
          <t>Outside corner bead linear feet</t>
        </is>
      </c>
      <c r="C35" s="9" t="inlineStr">
        <is>
          <t>crnr_bead_lf</t>
        </is>
      </c>
      <c r="D35" s="10">
        <f>12*10</f>
        <v>120.0</v>
      </c>
      <c r="E35" s="8" t="inlineStr">
        <is>
          <t>LF</t>
        </is>
      </c>
      <c r="F35" s="11" t="inlineStr">
        <is>
          <t>12 outside corners at 10'-0"</t>
        </is>
      </c>
    </row>
    <row r="36">
      <c r="A36" s="8" t="inlineStr">
        <is>
          <t>Rates</t>
        </is>
      </c>
      <c r="B36" s="8" t="inlineStr">
        <is>
          <t>Light-gauge metal framer (burdened)</t>
        </is>
      </c>
      <c r="C36" s="9" t="inlineStr">
        <is>
          <t>rate_framing</t>
        </is>
      </c>
      <c r="D36" s="12" t="n">
        <v>78</v>
      </c>
      <c r="E36" s="8" t="inlineStr">
        <is>
          <t>$/hr</t>
        </is>
      </c>
      <c r="F36" s="11" t="inlineStr">
        <is>
          <t>Illustrative</t>
        </is>
      </c>
    </row>
    <row r="37">
      <c r="A37" s="8" t="inlineStr">
        <is>
          <t>Rates</t>
        </is>
      </c>
      <c r="B37" s="8" t="inlineStr">
        <is>
          <t>Drywall hanger / board installer (burdened)</t>
        </is>
      </c>
      <c r="C37" s="9" t="inlineStr">
        <is>
          <t>rate_hanger</t>
        </is>
      </c>
      <c r="D37" s="12" t="n">
        <v>74</v>
      </c>
      <c r="E37" s="8" t="inlineStr">
        <is>
          <t>$/hr</t>
        </is>
      </c>
      <c r="F37" s="11" t="inlineStr">
        <is>
          <t>Illustrative</t>
        </is>
      </c>
    </row>
    <row r="38">
      <c r="A38" s="8" t="inlineStr">
        <is>
          <t>Rates</t>
        </is>
      </c>
      <c r="B38" s="8" t="inlineStr">
        <is>
          <t>Drywall finisher / taper (burdened)</t>
        </is>
      </c>
      <c r="C38" s="9" t="inlineStr">
        <is>
          <t>rate_finisher</t>
        </is>
      </c>
      <c r="D38" s="12" t="n">
        <v>76</v>
      </c>
      <c r="E38" s="8" t="inlineStr">
        <is>
          <t>$/hr</t>
        </is>
      </c>
      <c r="F38" s="11" t="inlineStr">
        <is>
          <t>Illustrative</t>
        </is>
      </c>
    </row>
    <row r="39">
      <c r="A39" s="8" t="inlineStr">
        <is>
          <t>Rates</t>
        </is>
      </c>
      <c r="B39" s="8" t="inlineStr">
        <is>
          <t>Acoustical ceiling mechanic (burdened)</t>
        </is>
      </c>
      <c r="C39" s="9" t="inlineStr">
        <is>
          <t>rate_ceiling</t>
        </is>
      </c>
      <c r="D39" s="12" t="n">
        <v>75</v>
      </c>
      <c r="E39" s="8" t="inlineStr">
        <is>
          <t>$/hr</t>
        </is>
      </c>
      <c r="F39" s="11" t="inlineStr">
        <is>
          <t>Illustrative</t>
        </is>
      </c>
    </row>
    <row r="40">
      <c r="A40" s="8" t="inlineStr">
        <is>
          <t>Markups</t>
        </is>
      </c>
      <c r="B40" s="8" t="inlineStr">
        <is>
          <t>Sales tax on material</t>
        </is>
      </c>
      <c r="C40" s="9" t="inlineStr">
        <is>
          <t>tax_rate</t>
        </is>
      </c>
      <c r="D40" s="13" t="n">
        <v>0.07000000000000001</v>
      </c>
      <c r="E40" s="8" t="inlineStr">
        <is>
          <t>%</t>
        </is>
      </c>
      <c r="F40" s="11" t="inlineStr">
        <is>
          <t>Assumption</t>
        </is>
      </c>
    </row>
    <row r="41">
      <c r="A41" s="8" t="inlineStr">
        <is>
          <t>Markups</t>
        </is>
      </c>
      <c r="B41" s="8" t="inlineStr">
        <is>
          <t>Overhead</t>
        </is>
      </c>
      <c r="C41" s="9" t="inlineStr">
        <is>
          <t>oh_pct</t>
        </is>
      </c>
      <c r="D41" s="13" t="n">
        <v>0.1</v>
      </c>
      <c r="E41" s="8" t="inlineStr">
        <is>
          <t>%</t>
        </is>
      </c>
      <c r="F41" s="11" t="inlineStr">
        <is>
          <t>Assumption</t>
        </is>
      </c>
    </row>
    <row r="42">
      <c r="A42" s="8" t="inlineStr">
        <is>
          <t>Markups</t>
        </is>
      </c>
      <c r="B42" s="8" t="inlineStr">
        <is>
          <t>Profit</t>
        </is>
      </c>
      <c r="C42" s="9" t="inlineStr">
        <is>
          <t>profit_pct</t>
        </is>
      </c>
      <c r="D42" s="13" t="n">
        <v>0.1</v>
      </c>
      <c r="E42" s="8" t="inlineStr">
        <is>
          <t>%</t>
        </is>
      </c>
      <c r="F42" s="11" t="inlineStr">
        <is>
          <t>Assumption</t>
        </is>
      </c>
    </row>
    <row r="44">
      <c r="A44" s="2" t="inlineStr">
        <is>
          <t>SCOPE INCLUDED</t>
        </is>
      </c>
    </row>
    <row r="45">
      <c r="B45" s="5" t="inlineStr">
        <is>
          <t>• Light gauge metal stud framing 3-5/8" (25 ga &amp; 20 ga) and track</t>
        </is>
      </c>
    </row>
    <row r="46">
      <c r="B46" s="5" t="inlineStr">
        <is>
          <t>• Exterior perimeter wall hat furring channels and fasteners</t>
        </is>
      </c>
    </row>
    <row r="47">
      <c r="B47" s="5" t="inlineStr">
        <is>
          <t>• R-11 sound batt insulation in all interior partition cavities</t>
        </is>
      </c>
    </row>
    <row r="48">
      <c r="B48" s="5" t="inlineStr">
        <is>
          <t>• Acoustical sealant and UL firestop joint at deck flutes on P2 walls</t>
        </is>
      </c>
    </row>
    <row r="49">
      <c r="B49" s="5" t="inlineStr">
        <is>
          <t>• 5/8" Type X and mold-resistant gypsum wallboard and suspended ceilings</t>
        </is>
      </c>
    </row>
    <row r="50">
      <c r="B50" s="5" t="inlineStr">
        <is>
          <t>• Level 4 finish on exposed surfaces; Level 1 fire-tape above ceiling</t>
        </is>
      </c>
    </row>
    <row r="51">
      <c r="B51" s="5" t="inlineStr">
        <is>
          <t>• Corner beads, casing beads, screws, joint compound and tape</t>
        </is>
      </c>
    </row>
    <row r="52">
      <c r="B52" s="5" t="inlineStr">
        <is>
          <t>• 2x2 Acoustical suspended ceiling grid and lay-in tegular tiles</t>
        </is>
      </c>
    </row>
    <row r="54">
      <c r="A54" s="2" t="inlineStr">
        <is>
          <t>EXCLUSIONS / BY OTHERS</t>
        </is>
      </c>
    </row>
    <row r="55">
      <c r="B55" s="5" t="inlineStr">
        <is>
          <t>• Doors, frames, and finish hardware installation (Div 08)</t>
        </is>
      </c>
    </row>
    <row r="56">
      <c r="B56" s="5" t="inlineStr">
        <is>
          <t>• Interior painting and wall coverings (Div 09)</t>
        </is>
      </c>
    </row>
    <row r="57">
      <c r="B57" s="5" t="inlineStr">
        <is>
          <t>• Electrical cutouts, junction boxes, or wiring (Div 26)</t>
        </is>
      </c>
    </row>
    <row r="58">
      <c r="B58" s="5" t="inlineStr">
        <is>
          <t>• Plumbing access panels supply (Div 22)</t>
        </is>
      </c>
    </row>
    <row r="59">
      <c r="B59" s="5" t="inlineStr">
        <is>
          <t>• Structural steel framing or heavy gauge structural studs</t>
        </is>
      </c>
    </row>
    <row r="60">
      <c r="B60" s="5" t="inlineStr">
        <is>
          <t>• Demolition or disposal of existing finishes</t>
        </is>
      </c>
    </row>
    <row r="62">
      <c r="A62" s="2" t="inlineStr">
        <is>
          <t>SAMPLE DRAWING LIST (sheets of the representative sample project, not a real plan set)</t>
        </is>
      </c>
    </row>
    <row r="63">
      <c r="B63" s="5" t="inlineStr">
        <is>
          <t>• A-101 — Tenant Partition Plan &amp; Wall Types (sample)</t>
        </is>
      </c>
    </row>
    <row r="64">
      <c r="B64" s="5" t="inlineStr">
        <is>
          <t>• A-102 — Reflected Ceiling Plan (sample)</t>
        </is>
      </c>
    </row>
    <row r="65">
      <c r="B65" s="5" t="inlineStr">
        <is>
          <t>• A-501 — Partition Head &amp; Base Details, Deflection Track (sample)</t>
        </is>
      </c>
    </row>
    <row r="66">
      <c r="B66" s="5" t="inlineStr">
        <is>
          <t>• A-601 — Door Schedule &amp; Opening Details (sample)</t>
        </is>
      </c>
    </row>
  </sheetData>
  <mergeCells count="2">
    <mergeCell ref="A3:F3"/>
    <mergeCell ref="B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9" customWidth="1" min="3" max="3"/>
    <col width="7" customWidth="1" min="4" max="4"/>
    <col width="8" customWidth="1" min="5" max="5"/>
    <col width="9" customWidth="1" min="6" max="6"/>
    <col width="8" customWidth="1" min="7" max="7"/>
    <col width="8" customWidth="1" min="8" max="8"/>
    <col width="11" customWidth="1" min="9" max="9"/>
    <col width="9" customWidth="1" min="10" max="10"/>
  </cols>
  <sheetData>
    <row r="1">
      <c r="A1" s="1" t="inlineStr">
        <is>
          <t>F&amp;K Estimatings</t>
        </is>
      </c>
    </row>
    <row r="2">
      <c r="A2" s="2" t="inlineStr">
        <is>
          <t>Drywall &amp; Framing Takeoff Sample — Interior partition types and gypsum wallboard areas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 ht="30" customHeight="1">
      <c r="A4" s="14" t="inlineStr">
        <is>
          <t>Partition lengths are scaled from plan grid lines. Gross GWB SF equals wall length x height x number of boarded sides. Door opening deductions are calculated in the takeoff summary.</t>
        </is>
      </c>
    </row>
    <row r="5" ht="26" customHeight="1">
      <c r="A5" s="7" t="inlineStr">
        <is>
          <t>Type</t>
        </is>
      </c>
      <c r="B5" s="7" t="inlineStr">
        <is>
          <t>Assembly Description</t>
        </is>
      </c>
      <c r="C5" s="7" t="inlineStr">
        <is>
          <t>Stud Size</t>
        </is>
      </c>
      <c r="D5" s="7" t="inlineStr">
        <is>
          <t>Gauge</t>
        </is>
      </c>
      <c r="E5" s="7" t="inlineStr">
        <is>
          <t>Spacing</t>
        </is>
      </c>
      <c r="F5" s="7" t="inlineStr">
        <is>
          <t>Framing Ht</t>
        </is>
      </c>
      <c r="G5" s="7" t="inlineStr">
        <is>
          <t>Wall LF</t>
        </is>
      </c>
      <c r="H5" s="7" t="inlineStr">
        <is>
          <t>GWB Sides</t>
        </is>
      </c>
      <c r="I5" s="7" t="inlineStr">
        <is>
          <t>Gross GWB SF</t>
        </is>
      </c>
      <c r="J5" s="7" t="inlineStr">
        <is>
          <t>Batt Sound</t>
        </is>
      </c>
    </row>
    <row r="6">
      <c r="A6" s="8" t="inlineStr">
        <is>
          <t>P1</t>
        </is>
      </c>
      <c r="B6" s="8" t="inlineStr">
        <is>
          <t>Office demising &amp; corridor (slab to 1' above ACT)</t>
        </is>
      </c>
      <c r="C6" s="8" t="inlineStr">
        <is>
          <t>3-5/8"</t>
        </is>
      </c>
      <c r="D6" s="8" t="inlineStr">
        <is>
          <t>25 ga</t>
        </is>
      </c>
      <c r="E6" s="8" t="inlineStr">
        <is>
          <t>16" oc</t>
        </is>
      </c>
      <c r="F6" s="15" t="n">
        <v>10</v>
      </c>
      <c r="G6" s="16">
        <f>p1_lf</f>
        <v>214.0</v>
      </c>
      <c r="H6" s="17" t="n">
        <v>2</v>
      </c>
      <c r="I6" s="18">
        <f>G6*F6*H6</f>
        <v>4280.0</v>
      </c>
      <c r="J6" s="8" t="inlineStr">
        <is>
          <t>R-11</t>
        </is>
      </c>
    </row>
    <row r="7">
      <c r="A7" s="8" t="inlineStr">
        <is>
          <t>P2</t>
        </is>
      </c>
      <c r="B7" s="8" t="inlineStr">
        <is>
          <t>Core sound &amp; fire separation (slab to deck)</t>
        </is>
      </c>
      <c r="C7" s="8" t="inlineStr">
        <is>
          <t>3-5/8"</t>
        </is>
      </c>
      <c r="D7" s="8" t="inlineStr">
        <is>
          <t>20 ga</t>
        </is>
      </c>
      <c r="E7" s="8" t="inlineStr">
        <is>
          <t>16" oc</t>
        </is>
      </c>
      <c r="F7" s="15" t="n">
        <v>16</v>
      </c>
      <c r="G7" s="16">
        <f>p2_lf</f>
        <v>84.0</v>
      </c>
      <c r="H7" s="17" t="n">
        <v>2</v>
      </c>
      <c r="I7" s="18">
        <f>G7*F7*H7</f>
        <v>2688.0</v>
      </c>
      <c r="J7" s="8" t="inlineStr">
        <is>
          <t>R-11</t>
        </is>
      </c>
    </row>
    <row r="8">
      <c r="A8" s="8" t="inlineStr">
        <is>
          <t>P3</t>
        </is>
      </c>
      <c r="B8" s="8" t="inlineStr">
        <is>
          <t>Perimeter exterior wall furring</t>
        </is>
      </c>
      <c r="C8" s="8" t="inlineStr">
        <is>
          <t>7/8" hat</t>
        </is>
      </c>
      <c r="D8" s="8" t="inlineStr">
        <is>
          <t>25 ga</t>
        </is>
      </c>
      <c r="E8" s="8" t="inlineStr">
        <is>
          <t>16" oc</t>
        </is>
      </c>
      <c r="F8" s="15" t="n">
        <v>10</v>
      </c>
      <c r="G8" s="16">
        <f>p3_lf</f>
        <v>320.0</v>
      </c>
      <c r="H8" s="17" t="n">
        <v>1</v>
      </c>
      <c r="I8" s="18">
        <f>G8*F8*H8</f>
        <v>3200.0</v>
      </c>
      <c r="J8" s="8" t="inlineStr">
        <is>
          <t>None</t>
        </is>
      </c>
    </row>
    <row r="9">
      <c r="A9" s="19" t="inlineStr">
        <is>
          <t>Totals</t>
        </is>
      </c>
      <c r="G9" s="20">
        <f>SUM(G6:G8)</f>
        <v>618.0</v>
      </c>
      <c r="I9" s="21">
        <f>SUM(I6:I8)</f>
        <v>10168.0</v>
      </c>
    </row>
  </sheetData>
  <mergeCells count="2">
    <mergeCell ref="A4:J4"/>
    <mergeCell ref="A3:J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8" customWidth="1" min="3" max="3"/>
    <col width="44" customWidth="1" min="4" max="4"/>
    <col width="12" customWidth="1" min="5" max="5"/>
    <col width="7" customWidth="1" min="6" max="6"/>
    <col width="8" customWidth="1" min="7" max="7"/>
    <col width="13" customWidth="1" min="8" max="8"/>
    <col width="56" customWidth="1" min="9" max="9"/>
    <col width="36" customWidth="1" min="10" max="10"/>
  </cols>
  <sheetData>
    <row r="1">
      <c r="A1" s="1" t="inlineStr">
        <is>
          <t>F&amp;K Estimatings</t>
        </is>
      </c>
    </row>
    <row r="2">
      <c r="A2" s="2" t="inlineStr">
        <is>
          <t>Drywall &amp; Framing Takeoff Sample — Quantity Takeoff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>
      <c r="A4" s="22" t="inlineStr">
        <is>
          <t>Qty column holds live formulas that reference the named assumptions on 'Cover &amp; Basis' (and the schedule sheets). Column I shows the same formula in readable form.</t>
        </is>
      </c>
    </row>
    <row r="5" ht="26" customHeight="1">
      <c r="A5" s="7" t="inlineStr">
        <is>
          <t>Item</t>
        </is>
      </c>
      <c r="B5" s="7" t="inlineStr">
        <is>
          <t>CSI</t>
        </is>
      </c>
      <c r="C5" s="7" t="inlineStr">
        <is>
          <t>Group</t>
        </is>
      </c>
      <c r="D5" s="7" t="inlineStr">
        <is>
          <t>Description</t>
        </is>
      </c>
      <c r="E5" s="7" t="inlineStr">
        <is>
          <t>Qty</t>
        </is>
      </c>
      <c r="F5" s="7" t="inlineStr">
        <is>
          <t>Unit</t>
        </is>
      </c>
      <c r="G5" s="7" t="inlineStr">
        <is>
          <t>Waste %</t>
        </is>
      </c>
      <c r="H5" s="7" t="inlineStr">
        <is>
          <t>Qty incl. waste</t>
        </is>
      </c>
      <c r="I5" s="7" t="inlineStr">
        <is>
          <t>Formula / basis</t>
        </is>
      </c>
      <c r="J5" s="7" t="inlineStr">
        <is>
          <t>Notes</t>
        </is>
      </c>
    </row>
    <row r="6">
      <c r="A6" s="8" t="n">
        <v>1</v>
      </c>
      <c r="B6" s="8" t="inlineStr">
        <is>
          <t>09 22 16</t>
        </is>
      </c>
      <c r="C6" s="8" t="inlineStr">
        <is>
          <t>Light-gauge metal framing</t>
        </is>
      </c>
      <c r="D6" s="11" t="inlineStr">
        <is>
          <t>3-5/8" 25 ga metal studs @ 16" o.c. (10' stock)</t>
        </is>
      </c>
      <c r="E6" s="23">
        <f>ROUNDUP(p1_lf*stud_factor+p1_lf*0.1,0)</f>
        <v>182.0</v>
      </c>
      <c r="F6" s="8" t="inlineStr">
        <is>
          <t>EA</t>
        </is>
      </c>
      <c r="G6" s="13" t="n">
        <v>0.05</v>
      </c>
      <c r="H6" s="24">
        <f>E6*(1+G6)</f>
        <v>191.1</v>
      </c>
      <c r="I6" s="25" t="inlineStr">
        <is>
          <t>ROUNDUP(p1_lf × stud_factor+p1_lf × 0.1,0)</t>
        </is>
      </c>
      <c r="J6" s="26" t="inlineStr">
        <is>
          <t>Includes starter studs, corners, clips</t>
        </is>
      </c>
    </row>
    <row r="7">
      <c r="A7" s="8" t="n">
        <v>2</v>
      </c>
      <c r="B7" s="8" t="inlineStr">
        <is>
          <t>09 22 16</t>
        </is>
      </c>
      <c r="C7" s="8" t="inlineStr">
        <is>
          <t>Light-gauge metal framing</t>
        </is>
      </c>
      <c r="D7" s="11" t="inlineStr">
        <is>
          <t>3-5/8" 25 ga top and bottom runner track</t>
        </is>
      </c>
      <c r="E7" s="23">
        <f>2*p1_lf</f>
        <v>428.0</v>
      </c>
      <c r="F7" s="8" t="inlineStr">
        <is>
          <t>LF</t>
        </is>
      </c>
      <c r="G7" s="13" t="n">
        <v>0.08</v>
      </c>
      <c r="H7" s="24">
        <f>E7*(1+G7)</f>
        <v>462.24</v>
      </c>
      <c r="I7" s="25" t="inlineStr">
        <is>
          <t>2 × p1_lf</t>
        </is>
      </c>
      <c r="J7" s="26" t="inlineStr"/>
    </row>
    <row r="8">
      <c r="A8" s="8" t="n">
        <v>3</v>
      </c>
      <c r="B8" s="8" t="inlineStr">
        <is>
          <t>09 22 16</t>
        </is>
      </c>
      <c r="C8" s="8" t="inlineStr">
        <is>
          <t>Light-gauge metal framing</t>
        </is>
      </c>
      <c r="D8" s="11" t="inlineStr">
        <is>
          <t>3-5/8" 20 ga metal studs @ 16" o.c. (16' stock)</t>
        </is>
      </c>
      <c r="E8" s="23">
        <f>ROUNDUP(p2_lf*stud_factor+p2_lf*0.1,0)</f>
        <v>72.0</v>
      </c>
      <c r="F8" s="8" t="inlineStr">
        <is>
          <t>EA</t>
        </is>
      </c>
      <c r="G8" s="13" t="n">
        <v>0.05</v>
      </c>
      <c r="H8" s="24">
        <f>E8*(1+G8)</f>
        <v>75.60000000000001</v>
      </c>
      <c r="I8" s="25" t="inlineStr">
        <is>
          <t>ROUNDUP(p2_lf × stud_factor+p2_lf × 0.1,0)</t>
        </is>
      </c>
      <c r="J8" s="26" t="inlineStr">
        <is>
          <t>Heavy duty studs to metal deck</t>
        </is>
      </c>
    </row>
    <row r="9">
      <c r="A9" s="8" t="n">
        <v>4</v>
      </c>
      <c r="B9" s="8" t="inlineStr">
        <is>
          <t>09 22 16</t>
        </is>
      </c>
      <c r="C9" s="8" t="inlineStr">
        <is>
          <t>Light-gauge metal framing</t>
        </is>
      </c>
      <c r="D9" s="11" t="inlineStr">
        <is>
          <t>3-5/8" 20 ga deep-leg deflection track (top) &amp; standard (bottom)</t>
        </is>
      </c>
      <c r="E9" s="23">
        <f>2*p2_lf</f>
        <v>168.0</v>
      </c>
      <c r="F9" s="8" t="inlineStr">
        <is>
          <t>LF</t>
        </is>
      </c>
      <c r="G9" s="13" t="n">
        <v>0.08</v>
      </c>
      <c r="H9" s="24">
        <f>E9*(1+G9)</f>
        <v>181.44</v>
      </c>
      <c r="I9" s="25" t="inlineStr">
        <is>
          <t>2 × p2_lf</t>
        </is>
      </c>
      <c r="J9" s="26" t="inlineStr">
        <is>
          <t>Top slotted deflection track accommodates live deflection</t>
        </is>
      </c>
    </row>
    <row r="10">
      <c r="A10" s="8" t="n">
        <v>5</v>
      </c>
      <c r="B10" s="8" t="inlineStr">
        <is>
          <t>09 22 16</t>
        </is>
      </c>
      <c r="C10" s="8" t="inlineStr">
        <is>
          <t>Light-gauge metal framing</t>
        </is>
      </c>
      <c r="D10" s="11" t="inlineStr">
        <is>
          <t>7/8" 25 ga hat furring channel @ 16" o.c. on exterior walls</t>
        </is>
      </c>
      <c r="E10" s="23">
        <f>p3_lf*10*0.75</f>
        <v>2400.0</v>
      </c>
      <c r="F10" s="8" t="inlineStr">
        <is>
          <t>LF</t>
        </is>
      </c>
      <c r="G10" s="13" t="n">
        <v>0.08</v>
      </c>
      <c r="H10" s="24">
        <f>E10*(1+G10)</f>
        <v>2592.0</v>
      </c>
      <c r="I10" s="25" t="inlineStr">
        <is>
          <t>p3_lf × 10 × 0.75</t>
        </is>
      </c>
      <c r="J10" s="26" t="inlineStr">
        <is>
          <t>Mechanically fastened to perimeter masonry/concrete</t>
        </is>
      </c>
    </row>
    <row r="11">
      <c r="A11" s="8" t="n">
        <v>6</v>
      </c>
      <c r="B11" s="8" t="inlineStr">
        <is>
          <t>09 22 16</t>
        </is>
      </c>
      <c r="C11" s="8" t="inlineStr">
        <is>
          <t>Light-gauge metal framing</t>
        </is>
      </c>
      <c r="D11" s="11" t="inlineStr">
        <is>
          <t>Door opening framing package (double 20 ga jamb studs + box header)</t>
        </is>
      </c>
      <c r="E11" s="23">
        <f>n_doors</f>
        <v>14.0</v>
      </c>
      <c r="F11" s="8" t="inlineStr">
        <is>
          <t>EA</t>
        </is>
      </c>
      <c r="G11" s="13" t="n">
        <v>0</v>
      </c>
      <c r="H11" s="24">
        <f>E11*(1+G11)</f>
        <v>14.0</v>
      </c>
      <c r="I11" s="25" t="inlineStr">
        <is>
          <t>n_doors</t>
        </is>
      </c>
      <c r="J11" s="26" t="inlineStr">
        <is>
          <t>Includes header track, cripples, jamb anchors</t>
        </is>
      </c>
    </row>
    <row r="12">
      <c r="A12" s="8" t="n">
        <v>7</v>
      </c>
      <c r="B12" s="8" t="inlineStr">
        <is>
          <t>07 21 00</t>
        </is>
      </c>
      <c r="C12" s="8" t="inlineStr">
        <is>
          <t>Thermal &amp; acoustic insulation</t>
        </is>
      </c>
      <c r="D12" s="11" t="inlineStr">
        <is>
          <t>R-11 fiberglass sound attenuation batts 3-1/2" (P1 walls)</t>
        </is>
      </c>
      <c r="E12" s="23">
        <f>p1_lf*p1_ht</f>
        <v>2140.0</v>
      </c>
      <c r="F12" s="8" t="inlineStr">
        <is>
          <t>SF</t>
        </is>
      </c>
      <c r="G12" s="13" t="n">
        <v>0.05</v>
      </c>
      <c r="H12" s="24">
        <f>E12*(1+G12)</f>
        <v>2247.0</v>
      </c>
      <c r="I12" s="25" t="inlineStr">
        <is>
          <t>p1_lf × p1_ht</t>
        </is>
      </c>
      <c r="J12" s="26" t="inlineStr">
        <is>
          <t>Friction fit between studs</t>
        </is>
      </c>
    </row>
    <row r="13">
      <c r="A13" s="8" t="n">
        <v>8</v>
      </c>
      <c r="B13" s="8" t="inlineStr">
        <is>
          <t>07 21 00</t>
        </is>
      </c>
      <c r="C13" s="8" t="inlineStr">
        <is>
          <t>Thermal &amp; acoustic insulation</t>
        </is>
      </c>
      <c r="D13" s="11" t="inlineStr">
        <is>
          <t>R-11 fiberglass sound attenuation batts 3-1/2" (P2 walls to deck)</t>
        </is>
      </c>
      <c r="E13" s="23">
        <f>p2_lf*p2_ht</f>
        <v>1344.0</v>
      </c>
      <c r="F13" s="8" t="inlineStr">
        <is>
          <t>SF</t>
        </is>
      </c>
      <c r="G13" s="13" t="n">
        <v>0.05</v>
      </c>
      <c r="H13" s="24">
        <f>E13*(1+G13)</f>
        <v>1411.2</v>
      </c>
      <c r="I13" s="25" t="inlineStr">
        <is>
          <t>p2_lf × p2_ht</t>
        </is>
      </c>
      <c r="J13" s="26" t="inlineStr">
        <is>
          <t>Full height sound barrier</t>
        </is>
      </c>
    </row>
    <row r="14">
      <c r="A14" s="8" t="n">
        <v>9</v>
      </c>
      <c r="B14" s="8" t="inlineStr">
        <is>
          <t>07 92 00</t>
        </is>
      </c>
      <c r="C14" s="8" t="inlineStr">
        <is>
          <t>Thermal &amp; acoustic insulation</t>
        </is>
      </c>
      <c r="D14" s="11" t="inlineStr">
        <is>
          <t>Acoustical sealant (continuous bead at perimeter of P2 walls)</t>
        </is>
      </c>
      <c r="E14" s="23">
        <f>4*p2_lf</f>
        <v>336.0</v>
      </c>
      <c r="F14" s="8" t="inlineStr">
        <is>
          <t>LF</t>
        </is>
      </c>
      <c r="G14" s="13" t="n">
        <v>0.05</v>
      </c>
      <c r="H14" s="24">
        <f>E14*(1+G14)</f>
        <v>352.8</v>
      </c>
      <c r="I14" s="25" t="inlineStr">
        <is>
          <t>4 × p2_lf</t>
        </is>
      </c>
      <c r="J14" s="26" t="inlineStr">
        <is>
          <t>Top, bottom and vertical perimeter joints</t>
        </is>
      </c>
    </row>
    <row r="15">
      <c r="A15" s="8" t="n">
        <v>10</v>
      </c>
      <c r="B15" s="8" t="inlineStr">
        <is>
          <t>07 84 43</t>
        </is>
      </c>
      <c r="C15" s="8" t="inlineStr">
        <is>
          <t>Thermal &amp; acoustic insulation</t>
        </is>
      </c>
      <c r="D15" s="11" t="inlineStr">
        <is>
          <t>Firestop joint sealant &amp; mineral wool safing at metal deck flutes</t>
        </is>
      </c>
      <c r="E15" s="23">
        <f>p2_lf</f>
        <v>84.0</v>
      </c>
      <c r="F15" s="8" t="inlineStr">
        <is>
          <t>LF</t>
        </is>
      </c>
      <c r="G15" s="13" t="n">
        <v>0.05</v>
      </c>
      <c r="H15" s="24">
        <f>E15*(1+G15)</f>
        <v>88.2</v>
      </c>
      <c r="I15" s="25" t="inlineStr">
        <is>
          <t>p2_lf</t>
        </is>
      </c>
      <c r="J15" s="26" t="inlineStr">
        <is>
          <t>1-hour UL rated head-of-wall joint assembly</t>
        </is>
      </c>
    </row>
    <row r="16">
      <c r="A16" s="8" t="n">
        <v>11</v>
      </c>
      <c r="B16" s="8" t="inlineStr">
        <is>
          <t>09 29 00</t>
        </is>
      </c>
      <c r="C16" s="8" t="inlineStr">
        <is>
          <t>Gypsum board assemblies</t>
        </is>
      </c>
      <c r="D16" s="11" t="inlineStr">
        <is>
          <t>Gross wallboard area (P1 + P2 + P3)</t>
        </is>
      </c>
      <c r="E16" s="23">
        <f>2*p1_lf*p1_ht+2*p2_lf*p2_ht+p3_lf*10</f>
        <v>10168.0</v>
      </c>
      <c r="F16" s="8" t="inlineStr">
        <is>
          <t>SF</t>
        </is>
      </c>
      <c r="G16" s="13" t="n">
        <v>0</v>
      </c>
      <c r="H16" s="24">
        <f>E16*(1+G16)</f>
        <v>10168.0</v>
      </c>
      <c r="I16" s="25" t="inlineStr">
        <is>
          <t>2 × p1_lf × p1_ht+2 × p2_lf × p2_ht+p3_lf × 10</t>
        </is>
      </c>
      <c r="J16" s="26" t="inlineStr">
        <is>
          <t>Sum of all wall sides</t>
        </is>
      </c>
    </row>
    <row r="17">
      <c r="A17" s="8" t="n">
        <v>12</v>
      </c>
      <c r="B17" s="8" t="inlineStr">
        <is>
          <t>09 29 00</t>
        </is>
      </c>
      <c r="C17" s="8" t="inlineStr">
        <is>
          <t>Gypsum board assemblies</t>
        </is>
      </c>
      <c r="D17" s="11" t="inlineStr">
        <is>
          <t>Opening deductions (doors)</t>
        </is>
      </c>
      <c r="E17" s="23">
        <f>n_doors*door_ded_sf</f>
        <v>636.4091999999999</v>
      </c>
      <c r="F17" s="8" t="inlineStr">
        <is>
          <t>SF</t>
        </is>
      </c>
      <c r="G17" s="13" t="n">
        <v>0</v>
      </c>
      <c r="H17" s="24">
        <f>E17*(1+G17)</f>
        <v>636.4091999999999</v>
      </c>
      <c r="I17" s="25" t="inlineStr">
        <is>
          <t>n_doors × door_ded_sf</t>
        </is>
      </c>
      <c r="J17" s="26" t="inlineStr">
        <is>
          <t>Both sides of single door openings</t>
        </is>
      </c>
    </row>
    <row r="18">
      <c r="A18" s="8" t="n">
        <v>13</v>
      </c>
      <c r="B18" s="8" t="inlineStr">
        <is>
          <t>09 29 00</t>
        </is>
      </c>
      <c r="C18" s="8" t="inlineStr">
        <is>
          <t>Gypsum board assemblies</t>
        </is>
      </c>
      <c r="D18" s="11" t="inlineStr">
        <is>
          <t>Net wallboard area installed on partitions</t>
        </is>
      </c>
      <c r="E18" s="23">
        <f>gross_gwb-ded_gwb</f>
        <v>9531.5908</v>
      </c>
      <c r="F18" s="8" t="inlineStr">
        <is>
          <t>SF</t>
        </is>
      </c>
      <c r="G18" s="13" t="n">
        <v>0</v>
      </c>
      <c r="H18" s="24">
        <f>E18*(1+G18)</f>
        <v>9531.5908</v>
      </c>
      <c r="I18" s="25" t="inlineStr">
        <is>
          <t>gross_gwb-ded_gwb</t>
        </is>
      </c>
      <c r="J18" s="26" t="inlineStr">
        <is>
          <t>Net wallboard surface area</t>
        </is>
      </c>
    </row>
    <row r="19">
      <c r="A19" s="8" t="n">
        <v>14</v>
      </c>
      <c r="B19" s="8" t="inlineStr">
        <is>
          <t>09 29 00</t>
        </is>
      </c>
      <c r="C19" s="8" t="inlineStr">
        <is>
          <t>Gypsum board assemblies</t>
        </is>
      </c>
      <c r="D19" s="11" t="inlineStr">
        <is>
          <t>5/8" Type X gypsum board (standard partitions &amp; furring)</t>
        </is>
      </c>
      <c r="E19" s="23">
        <f>net_wall_gwb-2*drywall_ceil_sf</f>
        <v>8859.5908</v>
      </c>
      <c r="F19" s="8" t="inlineStr">
        <is>
          <t>SF</t>
        </is>
      </c>
      <c r="G19" s="13" t="n">
        <v>0.08</v>
      </c>
      <c r="H19" s="24">
        <f>E19*(1+G19)</f>
        <v>9568.358064</v>
      </c>
      <c r="I19" s="25" t="inlineStr">
        <is>
          <t>net_wall_gwb-2 × drywall_ceil_sf</t>
        </is>
      </c>
      <c r="J19" s="26" t="inlineStr">
        <is>
          <t>4'x10' sheets hung horizontally, staggered</t>
        </is>
      </c>
    </row>
    <row r="20">
      <c r="A20" s="8" t="n">
        <v>15</v>
      </c>
      <c r="B20" s="8" t="inlineStr">
        <is>
          <t>09 29 00</t>
        </is>
      </c>
      <c r="C20" s="8" t="inlineStr">
        <is>
          <t>Gypsum board assemblies</t>
        </is>
      </c>
      <c r="D20" s="11" t="inlineStr">
        <is>
          <t>5/8" Mold &amp; moisture-resistant gypsum board (restroom walls)</t>
        </is>
      </c>
      <c r="E20" s="23">
        <f>2*(11*12+11*12+6*12)</f>
        <v>672.0</v>
      </c>
      <c r="F20" s="8" t="inlineStr">
        <is>
          <t>SF</t>
        </is>
      </c>
      <c r="G20" s="13" t="n">
        <v>0.08</v>
      </c>
      <c r="H20" s="24">
        <f>E20*(1+G20)</f>
        <v>725.76</v>
      </c>
      <c r="I20" s="25" t="inlineStr">
        <is>
          <t>2 × (11 × 12+11 × 12+6 × 12)</t>
        </is>
      </c>
      <c r="J20" s="26" t="inlineStr">
        <is>
          <t>Purple / mold-tough board around wet walls</t>
        </is>
      </c>
    </row>
    <row r="21">
      <c r="A21" s="8" t="n">
        <v>16</v>
      </c>
      <c r="B21" s="8" t="inlineStr">
        <is>
          <t>09 29 00</t>
        </is>
      </c>
      <c r="C21" s="8" t="inlineStr">
        <is>
          <t>Gypsum board assemblies</t>
        </is>
      </c>
      <c r="D21" s="11" t="inlineStr">
        <is>
          <t>5/8" Type X gypsum board for suspended ceilings (restrooms &amp; janitor)</t>
        </is>
      </c>
      <c r="E21" s="23">
        <f>drywall_ceil_sf</f>
        <v>336.0</v>
      </c>
      <c r="F21" s="8" t="inlineStr">
        <is>
          <t>SF</t>
        </is>
      </c>
      <c r="G21" s="13" t="n">
        <v>0.1</v>
      </c>
      <c r="H21" s="24">
        <f>E21*(1+G21)</f>
        <v>369.6</v>
      </c>
      <c r="I21" s="25" t="inlineStr">
        <is>
          <t>drywall_ceil_sf</t>
        </is>
      </c>
      <c r="J21" s="26" t="inlineStr">
        <is>
          <t>Overhead hanging rate</t>
        </is>
      </c>
    </row>
    <row r="22">
      <c r="A22" s="8" t="n">
        <v>17</v>
      </c>
      <c r="B22" s="8" t="inlineStr">
        <is>
          <t>09 29 00</t>
        </is>
      </c>
      <c r="C22" s="8" t="inlineStr">
        <is>
          <t>Gypsum board assemblies</t>
        </is>
      </c>
      <c r="D22" s="11" t="inlineStr">
        <is>
          <t>Drywall fasteners (1-1/4" Type S bugle head screws)</t>
        </is>
      </c>
      <c r="E22" s="23">
        <f>ROUNDUP((gross_gwb+drywall_ceil_sf)*screw_p_sf/1000,0)</f>
        <v>11.0</v>
      </c>
      <c r="F22" s="8" t="inlineStr">
        <is>
          <t>BOX</t>
        </is>
      </c>
      <c r="G22" s="13" t="n">
        <v>0</v>
      </c>
      <c r="H22" s="24">
        <f>E22*(1+G22)</f>
        <v>11.0</v>
      </c>
      <c r="I22" s="25" t="inlineStr">
        <is>
          <t>ROUNDUP((gross_gwb+drywall_ceil_sf) × screw_p_sf/1000,0)</t>
        </is>
      </c>
      <c r="J22" s="26" t="inlineStr">
        <is>
          <t>1,000 screws/box; labor included in hanging</t>
        </is>
      </c>
    </row>
    <row r="23">
      <c r="A23" s="8" t="n">
        <v>18</v>
      </c>
      <c r="B23" s="8" t="inlineStr">
        <is>
          <t>09 29 00</t>
        </is>
      </c>
      <c r="C23" s="8" t="inlineStr">
        <is>
          <t>Finishing &amp; trims</t>
        </is>
      </c>
      <c r="D23" s="11" t="inlineStr">
        <is>
          <t>Level 4 drywall tape &amp; 3-coat finish (occupied areas to ceiling)</t>
        </is>
      </c>
      <c r="E23" s="23">
        <f>net_wall_gwb-(2*p2_lf*(deck_ht-act_ht))+drywall_ceil_sf</f>
        <v>8691.5908</v>
      </c>
      <c r="F23" s="8" t="inlineStr">
        <is>
          <t>SF</t>
        </is>
      </c>
      <c r="G23" s="13" t="n">
        <v>0.05</v>
      </c>
      <c r="H23" s="24">
        <f>E23*(1+G23)</f>
        <v>9126.17034</v>
      </c>
      <c r="I23" s="25" t="inlineStr">
        <is>
          <t>net_wall_gwb-(2 × p2_lf × (deck_ht-act_ht))+drywall_ceil_sf</t>
        </is>
      </c>
      <c r="J23" s="26" t="inlineStr">
        <is>
          <t>Tape, 2 coats joint compound, light sand ready for prime</t>
        </is>
      </c>
    </row>
    <row r="24">
      <c r="A24" s="8" t="n">
        <v>19</v>
      </c>
      <c r="B24" s="8" t="inlineStr">
        <is>
          <t>09 29 00</t>
        </is>
      </c>
      <c r="C24" s="8" t="inlineStr">
        <is>
          <t>Finishing &amp; trims</t>
        </is>
      </c>
      <c r="D24" s="11" t="inlineStr">
        <is>
          <t>Level 1 fire-tape only (above ceiling line to deck on P2 walls)</t>
        </is>
      </c>
      <c r="E24" s="23">
        <f>2*p2_lf*(deck_ht-act_ht)</f>
        <v>1176.0</v>
      </c>
      <c r="F24" s="8" t="inlineStr">
        <is>
          <t>SF</t>
        </is>
      </c>
      <c r="G24" s="13" t="n">
        <v>0.05</v>
      </c>
      <c r="H24" s="24">
        <f>E24*(1+G24)</f>
        <v>1234.8</v>
      </c>
      <c r="I24" s="25" t="inlineStr">
        <is>
          <t>2 × p2_lf × (deck_ht-act_ht)</t>
        </is>
      </c>
      <c r="J24" s="26" t="inlineStr">
        <is>
          <t>1 coat tape and compound for smoke/fire seal</t>
        </is>
      </c>
    </row>
    <row r="25">
      <c r="A25" s="8" t="n">
        <v>20</v>
      </c>
      <c r="B25" s="8" t="inlineStr">
        <is>
          <t>09 22 00</t>
        </is>
      </c>
      <c r="C25" s="8" t="inlineStr">
        <is>
          <t>Finishing &amp; trims</t>
        </is>
      </c>
      <c r="D25" s="11" t="inlineStr">
        <is>
          <t>Paper-faced metal corner bead (outside corners)</t>
        </is>
      </c>
      <c r="E25" s="23">
        <f>crnr_bead_lf</f>
        <v>120.0</v>
      </c>
      <c r="F25" s="8" t="inlineStr">
        <is>
          <t>LF</t>
        </is>
      </c>
      <c r="G25" s="13" t="n">
        <v>0.08</v>
      </c>
      <c r="H25" s="24">
        <f>E25*(1+G25)</f>
        <v>129.60000000000002</v>
      </c>
      <c r="I25" s="25" t="inlineStr">
        <is>
          <t>crnr_bead_lf</t>
        </is>
      </c>
      <c r="J25" s="26" t="inlineStr">
        <is>
          <t>Crimped/glued and feathered into field</t>
        </is>
      </c>
    </row>
    <row r="26">
      <c r="A26" s="8" t="n">
        <v>21</v>
      </c>
      <c r="B26" s="8" t="inlineStr">
        <is>
          <t>09 22 00</t>
        </is>
      </c>
      <c r="C26" s="8" t="inlineStr">
        <is>
          <t>Finishing &amp; trims</t>
        </is>
      </c>
      <c r="D26" s="11" t="inlineStr">
        <is>
          <t>L-trim / tear-away casing bead at door frames and terminations</t>
        </is>
      </c>
      <c r="E26" s="23">
        <f>n_doors*(door_wd+2*door_ht)</f>
        <v>245.14</v>
      </c>
      <c r="F26" s="8" t="inlineStr">
        <is>
          <t>LF</t>
        </is>
      </c>
      <c r="G26" s="13" t="n">
        <v>0.08</v>
      </c>
      <c r="H26" s="24">
        <f>E26*(1+G26)</f>
        <v>264.7512</v>
      </c>
      <c r="I26" s="25" t="inlineStr">
        <is>
          <t>n_doors × (door_wd+2 × door_ht)</t>
        </is>
      </c>
      <c r="J26" s="26" t="inlineStr">
        <is>
          <t>Clean termination bead at steel frames</t>
        </is>
      </c>
    </row>
    <row r="27">
      <c r="A27" s="8" t="n">
        <v>22</v>
      </c>
      <c r="B27" s="8" t="inlineStr">
        <is>
          <t>09 51 13</t>
        </is>
      </c>
      <c r="C27" s="8" t="inlineStr">
        <is>
          <t>Ceiling systems</t>
        </is>
      </c>
      <c r="D27" s="11" t="inlineStr">
        <is>
          <t>Acoustical ceiling tile 2' x 2' fine-fissured tegular (Armstrong Cortega or equiv.)</t>
        </is>
      </c>
      <c r="E27" s="23">
        <f>act_ceil_sf</f>
        <v>5568.0</v>
      </c>
      <c r="F27" s="8" t="inlineStr">
        <is>
          <t>SF</t>
        </is>
      </c>
      <c r="G27" s="13" t="n">
        <v>0.08</v>
      </c>
      <c r="H27" s="24">
        <f>E27*(1+G27)</f>
        <v>6013.4400000000005</v>
      </c>
      <c r="I27" s="25" t="inlineStr">
        <is>
          <t>act_ceil_sf</t>
        </is>
      </c>
      <c r="J27" s="26" t="inlineStr">
        <is>
          <t>Lay-in tegular edge acoustic panels</t>
        </is>
      </c>
    </row>
    <row r="28">
      <c r="A28" s="8" t="n">
        <v>23</v>
      </c>
      <c r="B28" s="8" t="inlineStr">
        <is>
          <t>09 51 13</t>
        </is>
      </c>
      <c r="C28" s="8" t="inlineStr">
        <is>
          <t>Ceiling systems</t>
        </is>
      </c>
      <c r="D28" s="11" t="inlineStr">
        <is>
          <t>15/16" intermediate-duty exposed suspension grid system</t>
        </is>
      </c>
      <c r="E28" s="23">
        <f>act_ceil_sf</f>
        <v>5568.0</v>
      </c>
      <c r="F28" s="8" t="inlineStr">
        <is>
          <t>SF</t>
        </is>
      </c>
      <c r="G28" s="13" t="n">
        <v>0.06</v>
      </c>
      <c r="H28" s="24">
        <f>E28*(1+G28)</f>
        <v>5902.08</v>
      </c>
      <c r="I28" s="25" t="inlineStr">
        <is>
          <t>act_ceil_sf</t>
        </is>
      </c>
      <c r="J28" s="26" t="inlineStr">
        <is>
          <t>Main runners @ 4'-0" o.c., 2' &amp; 4' cross tees</t>
        </is>
      </c>
    </row>
    <row r="29">
      <c r="A29" s="8" t="n">
        <v>24</v>
      </c>
      <c r="B29" s="8" t="inlineStr">
        <is>
          <t>09 51 13</t>
        </is>
      </c>
      <c r="C29" s="8" t="inlineStr">
        <is>
          <t>Ceiling systems</t>
        </is>
      </c>
      <c r="D29" s="11" t="inlineStr">
        <is>
          <t>15/16" perimeter wall angle molding</t>
        </is>
      </c>
      <c r="E29" s="23">
        <f>grid_perim_lf</f>
        <v>916.0</v>
      </c>
      <c r="F29" s="8" t="inlineStr">
        <is>
          <t>LF</t>
        </is>
      </c>
      <c r="G29" s="13" t="n">
        <v>0.06</v>
      </c>
      <c r="H29" s="24">
        <f>E29*(1+G29)</f>
        <v>970.96</v>
      </c>
      <c r="I29" s="25" t="inlineStr">
        <is>
          <t>grid_perim_lf</t>
        </is>
      </c>
      <c r="J29" s="26" t="inlineStr">
        <is>
          <t>Fastened to stud walls at 9'-0" AFF</t>
        </is>
      </c>
    </row>
    <row r="30">
      <c r="A30" s="8" t="n">
        <v>25</v>
      </c>
      <c r="B30" s="8" t="inlineStr">
        <is>
          <t>09 51 13</t>
        </is>
      </c>
      <c r="C30" s="8" t="inlineStr">
        <is>
          <t>Ceiling systems</t>
        </is>
      </c>
      <c r="D30" s="11" t="inlineStr">
        <is>
          <t>12-gauge galvanized hanger wire and eye-pin deck fasteners</t>
        </is>
      </c>
      <c r="E30" s="23">
        <f>ROUNDUP(act_ceil_sf/16,0)</f>
        <v>348.0</v>
      </c>
      <c r="F30" s="8" t="inlineStr">
        <is>
          <t>EA</t>
        </is>
      </c>
      <c r="G30" s="13" t="n">
        <v>0.05</v>
      </c>
      <c r="H30" s="24">
        <f>E30*(1+G30)</f>
        <v>365.40000000000003</v>
      </c>
      <c r="I30" s="25" t="inlineStr">
        <is>
          <t>ROUNDUP(act_ceil_sf/16,0)</t>
        </is>
      </c>
      <c r="J30" s="26" t="inlineStr">
        <is>
          <t>Hangers @ 4'-0" o.c. each way</t>
        </is>
      </c>
    </row>
    <row r="31">
      <c r="A31" s="8" t="n">
        <v>26</v>
      </c>
      <c r="B31" s="8" t="inlineStr">
        <is>
          <t>09 22 26</t>
        </is>
      </c>
      <c r="C31" s="8" t="inlineStr">
        <is>
          <t>Ceiling systems</t>
        </is>
      </c>
      <c r="D31" s="11" t="inlineStr">
        <is>
          <t>Suspended drywall ceiling grid &amp; carrying channel (restrooms)</t>
        </is>
      </c>
      <c r="E31" s="23">
        <f>drywall_ceil_sf</f>
        <v>336.0</v>
      </c>
      <c r="F31" s="8" t="inlineStr">
        <is>
          <t>SF</t>
        </is>
      </c>
      <c r="G31" s="13" t="n">
        <v>0.08</v>
      </c>
      <c r="H31" s="24">
        <f>E31*(1+G31)</f>
        <v>362.88</v>
      </c>
      <c r="I31" s="25" t="inlineStr">
        <is>
          <t>drywall_ceil_sf</t>
        </is>
      </c>
      <c r="J31" s="26" t="inlineStr">
        <is>
          <t>1-1/2" CRC + 7/8" drywall furring channels</t>
        </is>
      </c>
    </row>
  </sheetData>
  <autoFilter ref="A5:J31"/>
  <mergeCells count="1"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40" customWidth="1" min="3" max="3"/>
    <col width="12" customWidth="1" min="4" max="4"/>
    <col width="7" customWidth="1" min="5" max="5"/>
    <col width="11" customWidth="1" min="6" max="6"/>
    <col width="13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2" customWidth="1" min="13" max="13"/>
    <col width="14" customWidth="1" min="14" max="14"/>
  </cols>
  <sheetData>
    <row r="1">
      <c r="A1" s="1" t="inlineStr">
        <is>
          <t>F&amp;K Estimatings</t>
        </is>
      </c>
    </row>
    <row r="2">
      <c r="A2" s="2" t="inlineStr">
        <is>
          <t>Drywall &amp; Framing Takeoff Sample — Pricing (illustrative unit costs)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>
      <c r="A4" s="22" t="inlineStr">
        <is>
          <t>Unit costs and labor rates are illustrative, September 2026 national average; not a quote. Labor hr/unit = stated productivity. Rates are named assumptions.</t>
        </is>
      </c>
    </row>
    <row r="5" ht="26" customHeight="1">
      <c r="A5" s="7" t="inlineStr">
        <is>
          <t>Item</t>
        </is>
      </c>
      <c r="B5" s="7" t="inlineStr">
        <is>
          <t>Group</t>
        </is>
      </c>
      <c r="C5" s="7" t="inlineStr">
        <is>
          <t>Description</t>
        </is>
      </c>
      <c r="D5" s="7" t="inlineStr">
        <is>
          <t>Qty incl. waste</t>
        </is>
      </c>
      <c r="E5" s="7" t="inlineStr">
        <is>
          <t>Unit</t>
        </is>
      </c>
      <c r="F5" s="7" t="inlineStr">
        <is>
          <t>Material $/unit</t>
        </is>
      </c>
      <c r="G5" s="7" t="inlineStr">
        <is>
          <t>Material $</t>
        </is>
      </c>
      <c r="H5" s="7" t="inlineStr">
        <is>
          <t>Labor hr/unit</t>
        </is>
      </c>
      <c r="I5" s="7" t="inlineStr">
        <is>
          <t>Labor hrs</t>
        </is>
      </c>
      <c r="J5" s="7" t="inlineStr">
        <is>
          <t>Labor rate $/hr</t>
        </is>
      </c>
      <c r="K5" s="7" t="inlineStr">
        <is>
          <t>Labor $</t>
        </is>
      </c>
      <c r="L5" s="7" t="inlineStr">
        <is>
          <t>Equip $/unit</t>
        </is>
      </c>
      <c r="M5" s="7" t="inlineStr">
        <is>
          <t>Equip $</t>
        </is>
      </c>
      <c r="N5" s="7" t="inlineStr">
        <is>
          <t>Total $</t>
        </is>
      </c>
    </row>
    <row r="6">
      <c r="A6" s="8" t="n">
        <v>1</v>
      </c>
      <c r="B6" s="8" t="inlineStr">
        <is>
          <t>Light-gauge metal framing</t>
        </is>
      </c>
      <c r="C6" s="11" t="inlineStr">
        <is>
          <t>3-5/8" 25 ga metal studs @ 16" o.c. (10' stock)</t>
        </is>
      </c>
      <c r="D6" s="27">
        <f>'Quantity Takeoff'!H6</f>
        <v>191.1</v>
      </c>
      <c r="E6" s="8" t="inlineStr">
        <is>
          <t>EA</t>
        </is>
      </c>
      <c r="F6" s="28" t="n">
        <v>7.4</v>
      </c>
      <c r="G6" s="29">
        <f>D6*F6</f>
        <v>1414.14</v>
      </c>
      <c r="H6" s="30" t="n">
        <v>0.18</v>
      </c>
      <c r="I6" s="31">
        <f>D6*H6</f>
        <v>34.397999999999996</v>
      </c>
      <c r="J6" s="32">
        <f>rate_framing</f>
        <v>78.0</v>
      </c>
      <c r="K6" s="29">
        <f>I6*J6</f>
        <v>2683.044</v>
      </c>
      <c r="L6" s="28" t="n">
        <v>0</v>
      </c>
      <c r="M6" s="29">
        <f>D6*L6</f>
        <v>0.0</v>
      </c>
      <c r="N6" s="33">
        <f>G6+K6+M6</f>
        <v>4097.184</v>
      </c>
    </row>
    <row r="7">
      <c r="A7" s="8" t="n">
        <v>2</v>
      </c>
      <c r="B7" s="8" t="inlineStr">
        <is>
          <t>Light-gauge metal framing</t>
        </is>
      </c>
      <c r="C7" s="11" t="inlineStr">
        <is>
          <t>3-5/8" 25 ga top and bottom runner track</t>
        </is>
      </c>
      <c r="D7" s="27">
        <f>'Quantity Takeoff'!H7</f>
        <v>462.24</v>
      </c>
      <c r="E7" s="8" t="inlineStr">
        <is>
          <t>LF</t>
        </is>
      </c>
      <c r="F7" s="28" t="n">
        <v>0.85</v>
      </c>
      <c r="G7" s="29">
        <f>D7*F7</f>
        <v>392.904</v>
      </c>
      <c r="H7" s="30" t="n">
        <v>0.035</v>
      </c>
      <c r="I7" s="31">
        <f>D7*H7</f>
        <v>16.178400000000003</v>
      </c>
      <c r="J7" s="32">
        <f>rate_framing</f>
        <v>78.0</v>
      </c>
      <c r="K7" s="29">
        <f>I7*J7</f>
        <v>1261.9152000000004</v>
      </c>
      <c r="L7" s="28" t="n">
        <v>0</v>
      </c>
      <c r="M7" s="29">
        <f>D7*L7</f>
        <v>0.0</v>
      </c>
      <c r="N7" s="33">
        <f>G7+K7+M7</f>
        <v>1654.8192000000004</v>
      </c>
    </row>
    <row r="8">
      <c r="A8" s="8" t="n">
        <v>3</v>
      </c>
      <c r="B8" s="8" t="inlineStr">
        <is>
          <t>Light-gauge metal framing</t>
        </is>
      </c>
      <c r="C8" s="11" t="inlineStr">
        <is>
          <t>3-5/8" 20 ga metal studs @ 16" o.c. (16' stock)</t>
        </is>
      </c>
      <c r="D8" s="27">
        <f>'Quantity Takeoff'!H8</f>
        <v>75.60000000000001</v>
      </c>
      <c r="E8" s="8" t="inlineStr">
        <is>
          <t>EA</t>
        </is>
      </c>
      <c r="F8" s="28" t="n">
        <v>16.8</v>
      </c>
      <c r="G8" s="29">
        <f>D8*F8</f>
        <v>1270.0800000000002</v>
      </c>
      <c r="H8" s="30" t="n">
        <v>0.32</v>
      </c>
      <c r="I8" s="31">
        <f>D8*H8</f>
        <v>24.192000000000004</v>
      </c>
      <c r="J8" s="32">
        <f>rate_framing</f>
        <v>78.0</v>
      </c>
      <c r="K8" s="29">
        <f>I8*J8</f>
        <v>1886.9760000000003</v>
      </c>
      <c r="L8" s="28" t="n">
        <v>0</v>
      </c>
      <c r="M8" s="29">
        <f>D8*L8</f>
        <v>0.0</v>
      </c>
      <c r="N8" s="33">
        <f>G8+K8+M8</f>
        <v>3157.0560000000005</v>
      </c>
    </row>
    <row r="9">
      <c r="A9" s="8" t="n">
        <v>4</v>
      </c>
      <c r="B9" s="8" t="inlineStr">
        <is>
          <t>Light-gauge metal framing</t>
        </is>
      </c>
      <c r="C9" s="11" t="inlineStr">
        <is>
          <t>3-5/8" 20 ga deep-leg deflection track (top) &amp; standard (bottom)</t>
        </is>
      </c>
      <c r="D9" s="27">
        <f>'Quantity Takeoff'!H9</f>
        <v>181.44</v>
      </c>
      <c r="E9" s="8" t="inlineStr">
        <is>
          <t>LF</t>
        </is>
      </c>
      <c r="F9" s="28" t="n">
        <v>1.65</v>
      </c>
      <c r="G9" s="29">
        <f>D9*F9</f>
        <v>299.376</v>
      </c>
      <c r="H9" s="30" t="n">
        <v>0.045</v>
      </c>
      <c r="I9" s="31">
        <f>D9*H9</f>
        <v>8.1648</v>
      </c>
      <c r="J9" s="32">
        <f>rate_framing</f>
        <v>78.0</v>
      </c>
      <c r="K9" s="29">
        <f>I9*J9</f>
        <v>636.8543999999999</v>
      </c>
      <c r="L9" s="28" t="n">
        <v>0</v>
      </c>
      <c r="M9" s="29">
        <f>D9*L9</f>
        <v>0.0</v>
      </c>
      <c r="N9" s="33">
        <f>G9+K9+M9</f>
        <v>936.2303999999999</v>
      </c>
    </row>
    <row r="10">
      <c r="A10" s="8" t="n">
        <v>5</v>
      </c>
      <c r="B10" s="8" t="inlineStr">
        <is>
          <t>Light-gauge metal framing</t>
        </is>
      </c>
      <c r="C10" s="11" t="inlineStr">
        <is>
          <t>7/8" 25 ga hat furring channel @ 16" o.c. on exterior walls</t>
        </is>
      </c>
      <c r="D10" s="27">
        <f>'Quantity Takeoff'!H10</f>
        <v>2592.0</v>
      </c>
      <c r="E10" s="8" t="inlineStr">
        <is>
          <t>LF</t>
        </is>
      </c>
      <c r="F10" s="28" t="n">
        <v>0.65</v>
      </c>
      <c r="G10" s="29">
        <f>D10*F10</f>
        <v>1684.8</v>
      </c>
      <c r="H10" s="30" t="n">
        <v>0.03</v>
      </c>
      <c r="I10" s="31">
        <f>D10*H10</f>
        <v>77.75999999999999</v>
      </c>
      <c r="J10" s="32">
        <f>rate_framing</f>
        <v>78.0</v>
      </c>
      <c r="K10" s="29">
        <f>I10*J10</f>
        <v>6065.279999999999</v>
      </c>
      <c r="L10" s="28" t="n">
        <v>0</v>
      </c>
      <c r="M10" s="29">
        <f>D10*L10</f>
        <v>0.0</v>
      </c>
      <c r="N10" s="33">
        <f>G10+K10+M10</f>
        <v>7750.079999999999</v>
      </c>
    </row>
    <row r="11">
      <c r="A11" s="8" t="n">
        <v>6</v>
      </c>
      <c r="B11" s="8" t="inlineStr">
        <is>
          <t>Light-gauge metal framing</t>
        </is>
      </c>
      <c r="C11" s="11" t="inlineStr">
        <is>
          <t>Door opening framing package (double 20 ga jamb studs + box header)</t>
        </is>
      </c>
      <c r="D11" s="27">
        <f>'Quantity Takeoff'!H11</f>
        <v>14.0</v>
      </c>
      <c r="E11" s="8" t="inlineStr">
        <is>
          <t>EA</t>
        </is>
      </c>
      <c r="F11" s="28" t="n">
        <v>34</v>
      </c>
      <c r="G11" s="29">
        <f>D11*F11</f>
        <v>476.0</v>
      </c>
      <c r="H11" s="30" t="n">
        <v>0.85</v>
      </c>
      <c r="I11" s="31">
        <f>D11*H11</f>
        <v>11.9</v>
      </c>
      <c r="J11" s="32">
        <f>rate_framing</f>
        <v>78.0</v>
      </c>
      <c r="K11" s="29">
        <f>I11*J11</f>
        <v>928.2</v>
      </c>
      <c r="L11" s="28" t="n">
        <v>0</v>
      </c>
      <c r="M11" s="29">
        <f>D11*L11</f>
        <v>0.0</v>
      </c>
      <c r="N11" s="33">
        <f>G11+K11+M11</f>
        <v>1404.2</v>
      </c>
    </row>
    <row r="12">
      <c r="A12" s="8" t="n">
        <v>7</v>
      </c>
      <c r="B12" s="8" t="inlineStr">
        <is>
          <t>Thermal &amp; acoustic insulation</t>
        </is>
      </c>
      <c r="C12" s="11" t="inlineStr">
        <is>
          <t>R-11 fiberglass sound attenuation batts 3-1/2" (P1 walls)</t>
        </is>
      </c>
      <c r="D12" s="27">
        <f>'Quantity Takeoff'!H12</f>
        <v>2247.0</v>
      </c>
      <c r="E12" s="8" t="inlineStr">
        <is>
          <t>SF</t>
        </is>
      </c>
      <c r="F12" s="28" t="n">
        <v>0.55</v>
      </c>
      <c r="G12" s="29">
        <f>D12*F12</f>
        <v>1235.8500000000001</v>
      </c>
      <c r="H12" s="30" t="n">
        <v>0.012</v>
      </c>
      <c r="I12" s="31">
        <f>D12*H12</f>
        <v>26.964000000000002</v>
      </c>
      <c r="J12" s="32">
        <f>rate_hanger</f>
        <v>74.0</v>
      </c>
      <c r="K12" s="29">
        <f>I12*J12</f>
        <v>1995.3360000000002</v>
      </c>
      <c r="L12" s="28" t="n">
        <v>0</v>
      </c>
      <c r="M12" s="29">
        <f>D12*L12</f>
        <v>0.0</v>
      </c>
      <c r="N12" s="33">
        <f>G12+K12+M12</f>
        <v>3231.1860000000006</v>
      </c>
    </row>
    <row r="13">
      <c r="A13" s="8" t="n">
        <v>8</v>
      </c>
      <c r="B13" s="8" t="inlineStr">
        <is>
          <t>Thermal &amp; acoustic insulation</t>
        </is>
      </c>
      <c r="C13" s="11" t="inlineStr">
        <is>
          <t>R-11 fiberglass sound attenuation batts 3-1/2" (P2 walls to deck)</t>
        </is>
      </c>
      <c r="D13" s="27">
        <f>'Quantity Takeoff'!H13</f>
        <v>1411.2</v>
      </c>
      <c r="E13" s="8" t="inlineStr">
        <is>
          <t>SF</t>
        </is>
      </c>
      <c r="F13" s="28" t="n">
        <v>0.55</v>
      </c>
      <c r="G13" s="29">
        <f>D13*F13</f>
        <v>776.1600000000001</v>
      </c>
      <c r="H13" s="30" t="n">
        <v>0.015</v>
      </c>
      <c r="I13" s="31">
        <f>D13*H13</f>
        <v>21.168</v>
      </c>
      <c r="J13" s="32">
        <f>rate_hanger</f>
        <v>74.0</v>
      </c>
      <c r="K13" s="29">
        <f>I13*J13</f>
        <v>1566.432</v>
      </c>
      <c r="L13" s="28" t="n">
        <v>0</v>
      </c>
      <c r="M13" s="29">
        <f>D13*L13</f>
        <v>0.0</v>
      </c>
      <c r="N13" s="33">
        <f>G13+K13+M13</f>
        <v>2342.592</v>
      </c>
    </row>
    <row r="14">
      <c r="A14" s="8" t="n">
        <v>9</v>
      </c>
      <c r="B14" s="8" t="inlineStr">
        <is>
          <t>Thermal &amp; acoustic insulation</t>
        </is>
      </c>
      <c r="C14" s="11" t="inlineStr">
        <is>
          <t>Acoustical sealant (continuous bead at perimeter of P2 walls)</t>
        </is>
      </c>
      <c r="D14" s="27">
        <f>'Quantity Takeoff'!H14</f>
        <v>352.8</v>
      </c>
      <c r="E14" s="8" t="inlineStr">
        <is>
          <t>LF</t>
        </is>
      </c>
      <c r="F14" s="28" t="n">
        <v>0.45</v>
      </c>
      <c r="G14" s="29">
        <f>D14*F14</f>
        <v>158.76000000000002</v>
      </c>
      <c r="H14" s="30" t="n">
        <v>0.02</v>
      </c>
      <c r="I14" s="31">
        <f>D14*H14</f>
        <v>7.056</v>
      </c>
      <c r="J14" s="32">
        <f>rate_hanger</f>
        <v>74.0</v>
      </c>
      <c r="K14" s="29">
        <f>I14*J14</f>
        <v>522.144</v>
      </c>
      <c r="L14" s="28" t="n">
        <v>0</v>
      </c>
      <c r="M14" s="29">
        <f>D14*L14</f>
        <v>0.0</v>
      </c>
      <c r="N14" s="33">
        <f>G14+K14+M14</f>
        <v>680.904</v>
      </c>
    </row>
    <row r="15">
      <c r="A15" s="8" t="n">
        <v>10</v>
      </c>
      <c r="B15" s="8" t="inlineStr">
        <is>
          <t>Thermal &amp; acoustic insulation</t>
        </is>
      </c>
      <c r="C15" s="11" t="inlineStr">
        <is>
          <t>Firestop joint sealant &amp; mineral wool safing at metal deck flutes</t>
        </is>
      </c>
      <c r="D15" s="27">
        <f>'Quantity Takeoff'!H15</f>
        <v>88.2</v>
      </c>
      <c r="E15" s="8" t="inlineStr">
        <is>
          <t>LF</t>
        </is>
      </c>
      <c r="F15" s="28" t="n">
        <v>3.8</v>
      </c>
      <c r="G15" s="29">
        <f>D15*F15</f>
        <v>335.15999999999997</v>
      </c>
      <c r="H15" s="30" t="n">
        <v>0.12</v>
      </c>
      <c r="I15" s="31">
        <f>D15*H15</f>
        <v>10.584</v>
      </c>
      <c r="J15" s="32">
        <f>rate_hanger</f>
        <v>74.0</v>
      </c>
      <c r="K15" s="29">
        <f>I15*J15</f>
        <v>783.216</v>
      </c>
      <c r="L15" s="28" t="n">
        <v>0</v>
      </c>
      <c r="M15" s="29">
        <f>D15*L15</f>
        <v>0.0</v>
      </c>
      <c r="N15" s="33">
        <f>G15+K15+M15</f>
        <v>1118.376</v>
      </c>
    </row>
    <row r="16">
      <c r="A16" s="8" t="n">
        <v>14</v>
      </c>
      <c r="B16" s="8" t="inlineStr">
        <is>
          <t>Gypsum board assemblies</t>
        </is>
      </c>
      <c r="C16" s="11" t="inlineStr">
        <is>
          <t>5/8" Type X gypsum board (standard partitions &amp; furring)</t>
        </is>
      </c>
      <c r="D16" s="27">
        <f>'Quantity Takeoff'!H19</f>
        <v>9568.358064</v>
      </c>
      <c r="E16" s="8" t="inlineStr">
        <is>
          <t>SF</t>
        </is>
      </c>
      <c r="F16" s="28" t="n">
        <v>0.58</v>
      </c>
      <c r="G16" s="29">
        <f>D16*F16</f>
        <v>5549.64767712</v>
      </c>
      <c r="H16" s="30" t="n">
        <v>0.022</v>
      </c>
      <c r="I16" s="31">
        <f>D16*H16</f>
        <v>210.503877408</v>
      </c>
      <c r="J16" s="32">
        <f>rate_hanger</f>
        <v>74.0</v>
      </c>
      <c r="K16" s="29">
        <f>I16*J16</f>
        <v>15577.286928192</v>
      </c>
      <c r="L16" s="28" t="n">
        <v>0</v>
      </c>
      <c r="M16" s="29">
        <f>D16*L16</f>
        <v>0.0</v>
      </c>
      <c r="N16" s="33">
        <f>G16+K16+M16</f>
        <v>21126.934605312</v>
      </c>
    </row>
    <row r="17">
      <c r="A17" s="8" t="n">
        <v>15</v>
      </c>
      <c r="B17" s="8" t="inlineStr">
        <is>
          <t>Gypsum board assemblies</t>
        </is>
      </c>
      <c r="C17" s="11" t="inlineStr">
        <is>
          <t>5/8" Mold &amp; moisture-resistant gypsum board (restroom walls)</t>
        </is>
      </c>
      <c r="D17" s="27">
        <f>'Quantity Takeoff'!H20</f>
        <v>725.76</v>
      </c>
      <c r="E17" s="8" t="inlineStr">
        <is>
          <t>SF</t>
        </is>
      </c>
      <c r="F17" s="28" t="n">
        <v>0.74</v>
      </c>
      <c r="G17" s="29">
        <f>D17*F17</f>
        <v>537.0624</v>
      </c>
      <c r="H17" s="30" t="n">
        <v>0.025</v>
      </c>
      <c r="I17" s="31">
        <f>D17*H17</f>
        <v>18.144000000000002</v>
      </c>
      <c r="J17" s="32">
        <f>rate_hanger</f>
        <v>74.0</v>
      </c>
      <c r="K17" s="29">
        <f>I17*J17</f>
        <v>1342.6560000000002</v>
      </c>
      <c r="L17" s="28" t="n">
        <v>0</v>
      </c>
      <c r="M17" s="29">
        <f>D17*L17</f>
        <v>0.0</v>
      </c>
      <c r="N17" s="33">
        <f>G17+K17+M17</f>
        <v>1879.7184000000002</v>
      </c>
    </row>
    <row r="18">
      <c r="A18" s="8" t="n">
        <v>16</v>
      </c>
      <c r="B18" s="8" t="inlineStr">
        <is>
          <t>Gypsum board assemblies</t>
        </is>
      </c>
      <c r="C18" s="11" t="inlineStr">
        <is>
          <t>5/8" Type X gypsum board for suspended ceilings (restrooms &amp; janitor)</t>
        </is>
      </c>
      <c r="D18" s="27">
        <f>'Quantity Takeoff'!H21</f>
        <v>369.6</v>
      </c>
      <c r="E18" s="8" t="inlineStr">
        <is>
          <t>SF</t>
        </is>
      </c>
      <c r="F18" s="28" t="n">
        <v>0.62</v>
      </c>
      <c r="G18" s="29">
        <f>D18*F18</f>
        <v>229.15200000000002</v>
      </c>
      <c r="H18" s="30" t="n">
        <v>0.03</v>
      </c>
      <c r="I18" s="31">
        <f>D18*H18</f>
        <v>11.088000000000001</v>
      </c>
      <c r="J18" s="32">
        <f>rate_hanger</f>
        <v>74.0</v>
      </c>
      <c r="K18" s="29">
        <f>I18*J18</f>
        <v>820.5120000000001</v>
      </c>
      <c r="L18" s="28" t="n">
        <v>0</v>
      </c>
      <c r="M18" s="29">
        <f>D18*L18</f>
        <v>0.0</v>
      </c>
      <c r="N18" s="33">
        <f>G18+K18+M18</f>
        <v>1049.664</v>
      </c>
    </row>
    <row r="19">
      <c r="A19" s="8" t="n">
        <v>17</v>
      </c>
      <c r="B19" s="8" t="inlineStr">
        <is>
          <t>Gypsum board assemblies</t>
        </is>
      </c>
      <c r="C19" s="11" t="inlineStr">
        <is>
          <t>Drywall fasteners (1-1/4" Type S bugle head screws)</t>
        </is>
      </c>
      <c r="D19" s="27">
        <f>'Quantity Takeoff'!H22</f>
        <v>11.0</v>
      </c>
      <c r="E19" s="8" t="inlineStr">
        <is>
          <t>BOX</t>
        </is>
      </c>
      <c r="F19" s="28" t="n">
        <v>38</v>
      </c>
      <c r="G19" s="29">
        <f>D19*F19</f>
        <v>418.0</v>
      </c>
      <c r="H19" s="30" t="n">
        <v>0</v>
      </c>
      <c r="I19" s="31">
        <f>D19*H19</f>
        <v>0.0</v>
      </c>
      <c r="J19" s="32">
        <f>rate_hanger</f>
        <v>74.0</v>
      </c>
      <c r="K19" s="29">
        <f>I19*J19</f>
        <v>0.0</v>
      </c>
      <c r="L19" s="28" t="n">
        <v>0</v>
      </c>
      <c r="M19" s="29">
        <f>D19*L19</f>
        <v>0.0</v>
      </c>
      <c r="N19" s="33">
        <f>G19+K19+M19</f>
        <v>418.0</v>
      </c>
    </row>
    <row r="20">
      <c r="A20" s="8" t="n">
        <v>18</v>
      </c>
      <c r="B20" s="8" t="inlineStr">
        <is>
          <t>Finishing &amp; trims</t>
        </is>
      </c>
      <c r="C20" s="11" t="inlineStr">
        <is>
          <t>Level 4 drywall tape &amp; 3-coat finish (occupied areas to ceiling)</t>
        </is>
      </c>
      <c r="D20" s="27">
        <f>'Quantity Takeoff'!H23</f>
        <v>9126.17034</v>
      </c>
      <c r="E20" s="8" t="inlineStr">
        <is>
          <t>SF</t>
        </is>
      </c>
      <c r="F20" s="28" t="n">
        <v>0.18</v>
      </c>
      <c r="G20" s="29">
        <f>D20*F20</f>
        <v>1642.7106612</v>
      </c>
      <c r="H20" s="30" t="n">
        <v>0.026</v>
      </c>
      <c r="I20" s="31">
        <f>D20*H20</f>
        <v>237.28042884</v>
      </c>
      <c r="J20" s="32">
        <f>rate_finisher</f>
        <v>76.0</v>
      </c>
      <c r="K20" s="29">
        <f>I20*J20</f>
        <v>18033.31259184</v>
      </c>
      <c r="L20" s="28" t="n">
        <v>0</v>
      </c>
      <c r="M20" s="29">
        <f>D20*L20</f>
        <v>0.0</v>
      </c>
      <c r="N20" s="33">
        <f>G20+K20+M20</f>
        <v>19676.02325304</v>
      </c>
    </row>
    <row r="21">
      <c r="A21" s="8" t="n">
        <v>19</v>
      </c>
      <c r="B21" s="8" t="inlineStr">
        <is>
          <t>Finishing &amp; trims</t>
        </is>
      </c>
      <c r="C21" s="11" t="inlineStr">
        <is>
          <t>Level 1 fire-tape only (above ceiling line to deck on P2 walls)</t>
        </is>
      </c>
      <c r="D21" s="27">
        <f>'Quantity Takeoff'!H24</f>
        <v>1234.8</v>
      </c>
      <c r="E21" s="8" t="inlineStr">
        <is>
          <t>SF</t>
        </is>
      </c>
      <c r="F21" s="28" t="n">
        <v>0.08</v>
      </c>
      <c r="G21" s="29">
        <f>D21*F21</f>
        <v>98.78399999999999</v>
      </c>
      <c r="H21" s="30" t="n">
        <v>0.012</v>
      </c>
      <c r="I21" s="31">
        <f>D21*H21</f>
        <v>14.8176</v>
      </c>
      <c r="J21" s="32">
        <f>rate_finisher</f>
        <v>76.0</v>
      </c>
      <c r="K21" s="29">
        <f>I21*J21</f>
        <v>1126.1376</v>
      </c>
      <c r="L21" s="28" t="n">
        <v>0</v>
      </c>
      <c r="M21" s="29">
        <f>D21*L21</f>
        <v>0.0</v>
      </c>
      <c r="N21" s="33">
        <f>G21+K21+M21</f>
        <v>1224.9216000000001</v>
      </c>
    </row>
    <row r="22">
      <c r="A22" s="8" t="n">
        <v>20</v>
      </c>
      <c r="B22" s="8" t="inlineStr">
        <is>
          <t>Finishing &amp; trims</t>
        </is>
      </c>
      <c r="C22" s="11" t="inlineStr">
        <is>
          <t>Paper-faced metal corner bead (outside corners)</t>
        </is>
      </c>
      <c r="D22" s="27">
        <f>'Quantity Takeoff'!H25</f>
        <v>129.60000000000002</v>
      </c>
      <c r="E22" s="8" t="inlineStr">
        <is>
          <t>LF</t>
        </is>
      </c>
      <c r="F22" s="28" t="n">
        <v>0.42</v>
      </c>
      <c r="G22" s="29">
        <f>D22*F22</f>
        <v>54.43200000000001</v>
      </c>
      <c r="H22" s="30" t="n">
        <v>0.035</v>
      </c>
      <c r="I22" s="31">
        <f>D22*H22</f>
        <v>4.536000000000001</v>
      </c>
      <c r="J22" s="32">
        <f>rate_finisher</f>
        <v>76.0</v>
      </c>
      <c r="K22" s="29">
        <f>I22*J22</f>
        <v>344.7360000000001</v>
      </c>
      <c r="L22" s="28" t="n">
        <v>0</v>
      </c>
      <c r="M22" s="29">
        <f>D22*L22</f>
        <v>0.0</v>
      </c>
      <c r="N22" s="33">
        <f>G22+K22+M22</f>
        <v>399.1680000000001</v>
      </c>
    </row>
    <row r="23">
      <c r="A23" s="8" t="n">
        <v>21</v>
      </c>
      <c r="B23" s="8" t="inlineStr">
        <is>
          <t>Finishing &amp; trims</t>
        </is>
      </c>
      <c r="C23" s="11" t="inlineStr">
        <is>
          <t>L-trim / tear-away casing bead at door frames and terminations</t>
        </is>
      </c>
      <c r="D23" s="27">
        <f>'Quantity Takeoff'!H26</f>
        <v>264.7512</v>
      </c>
      <c r="E23" s="8" t="inlineStr">
        <is>
          <t>LF</t>
        </is>
      </c>
      <c r="F23" s="28" t="n">
        <v>0.38</v>
      </c>
      <c r="G23" s="29">
        <f>D23*F23</f>
        <v>100.60545599999999</v>
      </c>
      <c r="H23" s="30" t="n">
        <v>0.025</v>
      </c>
      <c r="I23" s="31">
        <f>D23*H23</f>
        <v>6.61878</v>
      </c>
      <c r="J23" s="32">
        <f>rate_finisher</f>
        <v>76.0</v>
      </c>
      <c r="K23" s="29">
        <f>I23*J23</f>
        <v>503.02728</v>
      </c>
      <c r="L23" s="28" t="n">
        <v>0</v>
      </c>
      <c r="M23" s="29">
        <f>D23*L23</f>
        <v>0.0</v>
      </c>
      <c r="N23" s="33">
        <f>G23+K23+M23</f>
        <v>603.632736</v>
      </c>
    </row>
    <row r="24">
      <c r="A24" s="8" t="n">
        <v>22</v>
      </c>
      <c r="B24" s="8" t="inlineStr">
        <is>
          <t>Ceiling systems</t>
        </is>
      </c>
      <c r="C24" s="11" t="inlineStr">
        <is>
          <t>Acoustical ceiling tile 2' x 2' fine-fissured tegular (Armstrong Cortega or equiv.)</t>
        </is>
      </c>
      <c r="D24" s="27">
        <f>'Quantity Takeoff'!H27</f>
        <v>6013.4400000000005</v>
      </c>
      <c r="E24" s="8" t="inlineStr">
        <is>
          <t>SF</t>
        </is>
      </c>
      <c r="F24" s="28" t="n">
        <v>1.45</v>
      </c>
      <c r="G24" s="29">
        <f>D24*F24</f>
        <v>8719.488000000001</v>
      </c>
      <c r="H24" s="30" t="n">
        <v>0.022</v>
      </c>
      <c r="I24" s="31">
        <f>D24*H24</f>
        <v>132.29568</v>
      </c>
      <c r="J24" s="32">
        <f>rate_ceiling</f>
        <v>75.0</v>
      </c>
      <c r="K24" s="29">
        <f>I24*J24</f>
        <v>9922.176</v>
      </c>
      <c r="L24" s="28" t="n">
        <v>0</v>
      </c>
      <c r="M24" s="29">
        <f>D24*L24</f>
        <v>0.0</v>
      </c>
      <c r="N24" s="33">
        <f>G24+K24+M24</f>
        <v>18641.664</v>
      </c>
    </row>
    <row r="25">
      <c r="A25" s="8" t="n">
        <v>23</v>
      </c>
      <c r="B25" s="8" t="inlineStr">
        <is>
          <t>Ceiling systems</t>
        </is>
      </c>
      <c r="C25" s="11" t="inlineStr">
        <is>
          <t>15/16" intermediate-duty exposed suspension grid system</t>
        </is>
      </c>
      <c r="D25" s="27">
        <f>'Quantity Takeoff'!H28</f>
        <v>5902.08</v>
      </c>
      <c r="E25" s="8" t="inlineStr">
        <is>
          <t>SF</t>
        </is>
      </c>
      <c r="F25" s="28" t="n">
        <v>1.15</v>
      </c>
      <c r="G25" s="29">
        <f>D25*F25</f>
        <v>6787.392</v>
      </c>
      <c r="H25" s="30" t="n">
        <v>0.028</v>
      </c>
      <c r="I25" s="31">
        <f>D25*H25</f>
        <v>165.25824</v>
      </c>
      <c r="J25" s="32">
        <f>rate_ceiling</f>
        <v>75.0</v>
      </c>
      <c r="K25" s="29">
        <f>I25*J25</f>
        <v>12394.368</v>
      </c>
      <c r="L25" s="28" t="n">
        <v>0</v>
      </c>
      <c r="M25" s="29">
        <f>D25*L25</f>
        <v>0.0</v>
      </c>
      <c r="N25" s="33">
        <f>G25+K25+M25</f>
        <v>19181.760000000002</v>
      </c>
    </row>
    <row r="26">
      <c r="A26" s="8" t="n">
        <v>24</v>
      </c>
      <c r="B26" s="8" t="inlineStr">
        <is>
          <t>Ceiling systems</t>
        </is>
      </c>
      <c r="C26" s="11" t="inlineStr">
        <is>
          <t>15/16" perimeter wall angle molding</t>
        </is>
      </c>
      <c r="D26" s="27">
        <f>'Quantity Takeoff'!H29</f>
        <v>970.96</v>
      </c>
      <c r="E26" s="8" t="inlineStr">
        <is>
          <t>LF</t>
        </is>
      </c>
      <c r="F26" s="28" t="n">
        <v>0.65</v>
      </c>
      <c r="G26" s="29">
        <f>D26*F26</f>
        <v>631.124</v>
      </c>
      <c r="H26" s="30" t="n">
        <v>0.03</v>
      </c>
      <c r="I26" s="31">
        <f>D26*H26</f>
        <v>29.1288</v>
      </c>
      <c r="J26" s="32">
        <f>rate_ceiling</f>
        <v>75.0</v>
      </c>
      <c r="K26" s="29">
        <f>I26*J26</f>
        <v>2184.66</v>
      </c>
      <c r="L26" s="28" t="n">
        <v>0</v>
      </c>
      <c r="M26" s="29">
        <f>D26*L26</f>
        <v>0.0</v>
      </c>
      <c r="N26" s="33">
        <f>G26+K26+M26</f>
        <v>2815.7839999999997</v>
      </c>
    </row>
    <row r="27">
      <c r="A27" s="8" t="n">
        <v>25</v>
      </c>
      <c r="B27" s="8" t="inlineStr">
        <is>
          <t>Ceiling systems</t>
        </is>
      </c>
      <c r="C27" s="11" t="inlineStr">
        <is>
          <t>12-gauge galvanized hanger wire and eye-pin deck fasteners</t>
        </is>
      </c>
      <c r="D27" s="27">
        <f>'Quantity Takeoff'!H30</f>
        <v>365.40000000000003</v>
      </c>
      <c r="E27" s="8" t="inlineStr">
        <is>
          <t>EA</t>
        </is>
      </c>
      <c r="F27" s="28" t="n">
        <v>1.2</v>
      </c>
      <c r="G27" s="29">
        <f>D27*F27</f>
        <v>438.48</v>
      </c>
      <c r="H27" s="30" t="n">
        <v>0.06</v>
      </c>
      <c r="I27" s="31">
        <f>D27*H27</f>
        <v>21.924</v>
      </c>
      <c r="J27" s="32">
        <f>rate_ceiling</f>
        <v>75.0</v>
      </c>
      <c r="K27" s="29">
        <f>I27*J27</f>
        <v>1644.3</v>
      </c>
      <c r="L27" s="28" t="n">
        <v>0</v>
      </c>
      <c r="M27" s="29">
        <f>D27*L27</f>
        <v>0.0</v>
      </c>
      <c r="N27" s="33">
        <f>G27+K27+M27</f>
        <v>2082.7799999999997</v>
      </c>
    </row>
    <row r="28">
      <c r="A28" s="8" t="n">
        <v>26</v>
      </c>
      <c r="B28" s="8" t="inlineStr">
        <is>
          <t>Ceiling systems</t>
        </is>
      </c>
      <c r="C28" s="11" t="inlineStr">
        <is>
          <t>Suspended drywall ceiling grid &amp; carrying channel (restrooms)</t>
        </is>
      </c>
      <c r="D28" s="27">
        <f>'Quantity Takeoff'!H31</f>
        <v>362.88</v>
      </c>
      <c r="E28" s="8" t="inlineStr">
        <is>
          <t>SF</t>
        </is>
      </c>
      <c r="F28" s="28" t="n">
        <v>1.85</v>
      </c>
      <c r="G28" s="29">
        <f>D28*F28</f>
        <v>671.328</v>
      </c>
      <c r="H28" s="30" t="n">
        <v>0.055</v>
      </c>
      <c r="I28" s="31">
        <f>D28*H28</f>
        <v>19.9584</v>
      </c>
      <c r="J28" s="32">
        <f>rate_ceiling</f>
        <v>75.0</v>
      </c>
      <c r="K28" s="29">
        <f>I28*J28</f>
        <v>1496.88</v>
      </c>
      <c r="L28" s="28" t="n">
        <v>0</v>
      </c>
      <c r="M28" s="29">
        <f>D28*L28</f>
        <v>0.0</v>
      </c>
      <c r="N28" s="33">
        <f>G28+K28+M28</f>
        <v>2168.208</v>
      </c>
    </row>
    <row r="29">
      <c r="C29" s="19" t="inlineStr">
        <is>
          <t>Direct cost totals</t>
        </is>
      </c>
      <c r="G29" s="34">
        <f>SUM(G6:G28)</f>
        <v>33921.43619432</v>
      </c>
      <c r="I29" s="35">
        <f>SUM(I6:I28)</f>
        <v>1109.919006248</v>
      </c>
      <c r="K29" s="34">
        <f>SUM(K6:K28)</f>
        <v>83719.450000032</v>
      </c>
      <c r="M29" s="34">
        <f>SUM(M6:M28)</f>
        <v>0.0</v>
      </c>
      <c r="N29" s="34">
        <f>SUM(N6:N28)</f>
        <v>117640.886194352</v>
      </c>
    </row>
  </sheetData>
  <mergeCells count="1">
    <mergeCell ref="A3:N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5" customWidth="1" min="3" max="3"/>
    <col width="11" customWidth="1" min="4" max="4"/>
    <col width="15" customWidth="1" min="5" max="5"/>
    <col width="14" customWidth="1" min="6" max="6"/>
    <col width="16" customWidth="1" min="7" max="7"/>
  </cols>
  <sheetData>
    <row r="1">
      <c r="A1" s="1" t="inlineStr">
        <is>
          <t>F&amp;K Estimatings</t>
        </is>
      </c>
    </row>
    <row r="2">
      <c r="A2" s="2" t="inlineStr">
        <is>
          <t>Drywall &amp; Framing Takeoff Sample — Summary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5" ht="26" customHeight="1">
      <c r="A5" s="7" t="inlineStr">
        <is>
          <t>Group</t>
        </is>
      </c>
      <c r="B5" s="7" t="inlineStr">
        <is>
          <t>Line items</t>
        </is>
      </c>
      <c r="C5" s="7" t="inlineStr">
        <is>
          <t>Material $</t>
        </is>
      </c>
      <c r="D5" s="7" t="inlineStr">
        <is>
          <t>Labor hrs</t>
        </is>
      </c>
      <c r="E5" s="7" t="inlineStr">
        <is>
          <t>Labor $</t>
        </is>
      </c>
      <c r="F5" s="7" t="inlineStr">
        <is>
          <t>Equipment $</t>
        </is>
      </c>
      <c r="G5" s="7" t="inlineStr">
        <is>
          <t>Total $</t>
        </is>
      </c>
    </row>
    <row r="6">
      <c r="A6" s="8" t="inlineStr">
        <is>
          <t>Light-gauge metal framing</t>
        </is>
      </c>
      <c r="B6" s="8">
        <f>COUNTIF(Pricing!$B$6:$B$28,A6)</f>
        <v>6.0</v>
      </c>
      <c r="C6" s="29">
        <f>SUMIF(Pricing!$B$6:$B$28,$A6,Pricing!$G$6:$G$28)</f>
        <v>5537.3</v>
      </c>
      <c r="D6" s="31">
        <f>SUMIF(Pricing!$B$6:$B$28,$A6,Pricing!$I$6:$I$28)</f>
        <v>172.5932</v>
      </c>
      <c r="E6" s="29">
        <f>SUMIF(Pricing!$B$6:$B$28,$A6,Pricing!$K$6:$K$28)</f>
        <v>13462.2696</v>
      </c>
      <c r="F6" s="29">
        <f>SUMIF(Pricing!$B$6:$B$28,$A6,Pricing!$M$6:$M$28)</f>
        <v>0.0</v>
      </c>
      <c r="G6" s="29">
        <f>SUMIF(Pricing!$B$6:$B$28,$A6,Pricing!$N$6:$N$28)</f>
        <v>18999.5696</v>
      </c>
    </row>
    <row r="7">
      <c r="A7" s="8" t="inlineStr">
        <is>
          <t>Thermal &amp; acoustic insulation</t>
        </is>
      </c>
      <c r="B7" s="8">
        <f>COUNTIF(Pricing!$B$6:$B$28,A7)</f>
        <v>4.0</v>
      </c>
      <c r="C7" s="29">
        <f>SUMIF(Pricing!$B$6:$B$28,$A7,Pricing!$G$6:$G$28)</f>
        <v>2505.9300000000003</v>
      </c>
      <c r="D7" s="31">
        <f>SUMIF(Pricing!$B$6:$B$28,$A7,Pricing!$I$6:$I$28)</f>
        <v>65.772</v>
      </c>
      <c r="E7" s="29">
        <f>SUMIF(Pricing!$B$6:$B$28,$A7,Pricing!$K$6:$K$28)</f>
        <v>4867.128000000001</v>
      </c>
      <c r="F7" s="29">
        <f>SUMIF(Pricing!$B$6:$B$28,$A7,Pricing!$M$6:$M$28)</f>
        <v>0.0</v>
      </c>
      <c r="G7" s="29">
        <f>SUMIF(Pricing!$B$6:$B$28,$A7,Pricing!$N$6:$N$28)</f>
        <v>7373.058000000001</v>
      </c>
    </row>
    <row r="8">
      <c r="A8" s="8" t="inlineStr">
        <is>
          <t>Gypsum board assemblies</t>
        </is>
      </c>
      <c r="B8" s="8">
        <f>COUNTIF(Pricing!$B$6:$B$28,A8)</f>
        <v>4.0</v>
      </c>
      <c r="C8" s="29">
        <f>SUMIF(Pricing!$B$6:$B$28,$A8,Pricing!$G$6:$G$28)</f>
        <v>6733.862077119999</v>
      </c>
      <c r="D8" s="31">
        <f>SUMIF(Pricing!$B$6:$B$28,$A8,Pricing!$I$6:$I$28)</f>
        <v>239.735877408</v>
      </c>
      <c r="E8" s="29">
        <f>SUMIF(Pricing!$B$6:$B$28,$A8,Pricing!$K$6:$K$28)</f>
        <v>17740.454928192</v>
      </c>
      <c r="F8" s="29">
        <f>SUMIF(Pricing!$B$6:$B$28,$A8,Pricing!$M$6:$M$28)</f>
        <v>0.0</v>
      </c>
      <c r="G8" s="29">
        <f>SUMIF(Pricing!$B$6:$B$28,$A8,Pricing!$N$6:$N$28)</f>
        <v>24474.317005311997</v>
      </c>
    </row>
    <row r="9">
      <c r="A9" s="8" t="inlineStr">
        <is>
          <t>Finishing &amp; trims</t>
        </is>
      </c>
      <c r="B9" s="8">
        <f>COUNTIF(Pricing!$B$6:$B$28,A9)</f>
        <v>4.0</v>
      </c>
      <c r="C9" s="29">
        <f>SUMIF(Pricing!$B$6:$B$28,$A9,Pricing!$G$6:$G$28)</f>
        <v>1896.5321172</v>
      </c>
      <c r="D9" s="31">
        <f>SUMIF(Pricing!$B$6:$B$28,$A9,Pricing!$I$6:$I$28)</f>
        <v>263.25280884</v>
      </c>
      <c r="E9" s="29">
        <f>SUMIF(Pricing!$B$6:$B$28,$A9,Pricing!$K$6:$K$28)</f>
        <v>20007.21347184</v>
      </c>
      <c r="F9" s="29">
        <f>SUMIF(Pricing!$B$6:$B$28,$A9,Pricing!$M$6:$M$28)</f>
        <v>0.0</v>
      </c>
      <c r="G9" s="29">
        <f>SUMIF(Pricing!$B$6:$B$28,$A9,Pricing!$N$6:$N$28)</f>
        <v>21903.745589039998</v>
      </c>
    </row>
    <row r="10">
      <c r="A10" s="8" t="inlineStr">
        <is>
          <t>Ceiling systems</t>
        </is>
      </c>
      <c r="B10" s="8">
        <f>COUNTIF(Pricing!$B$6:$B$28,A10)</f>
        <v>5.0</v>
      </c>
      <c r="C10" s="29">
        <f>SUMIF(Pricing!$B$6:$B$28,$A10,Pricing!$G$6:$G$28)</f>
        <v>17247.812</v>
      </c>
      <c r="D10" s="31">
        <f>SUMIF(Pricing!$B$6:$B$28,$A10,Pricing!$I$6:$I$28)</f>
        <v>368.56512</v>
      </c>
      <c r="E10" s="29">
        <f>SUMIF(Pricing!$B$6:$B$28,$A10,Pricing!$K$6:$K$28)</f>
        <v>27642.384</v>
      </c>
      <c r="F10" s="29">
        <f>SUMIF(Pricing!$B$6:$B$28,$A10,Pricing!$M$6:$M$28)</f>
        <v>0.0</v>
      </c>
      <c r="G10" s="29">
        <f>SUMIF(Pricing!$B$6:$B$28,$A10,Pricing!$N$6:$N$28)</f>
        <v>44890.196</v>
      </c>
    </row>
    <row r="11">
      <c r="A11" s="19" t="inlineStr">
        <is>
          <t>Direct cost subtotal</t>
        </is>
      </c>
      <c r="C11" s="34">
        <f>SUM(C6:C10)</f>
        <v>33921.43619432</v>
      </c>
      <c r="D11" s="35">
        <f>SUM(D6:D10)</f>
        <v>1109.919006248</v>
      </c>
      <c r="E11" s="34">
        <f>SUM(E6:E10)</f>
        <v>83719.450000032</v>
      </c>
      <c r="F11" s="34">
        <f>SUM(F6:F10)</f>
        <v>0.0</v>
      </c>
      <c r="G11" s="34">
        <f>SUM(G6:G10)</f>
        <v>117640.886194352</v>
      </c>
    </row>
    <row r="12">
      <c r="A12" s="36" t="inlineStr">
        <is>
          <t>Markups (percentages are stated assumptions — see Cover &amp; Basis)</t>
        </is>
      </c>
    </row>
    <row r="13">
      <c r="A13" s="5" t="inlineStr">
        <is>
          <t>Sales tax on material (7.0% of material)</t>
        </is>
      </c>
      <c r="F13" s="37">
        <f>tax_rate</f>
        <v>0.07</v>
      </c>
      <c r="G13" s="38">
        <f>C11*F13</f>
        <v>2374.5005336024</v>
      </c>
    </row>
    <row r="14">
      <c r="A14" s="22" t="inlineStr">
        <is>
          <t>Running subtotal</t>
        </is>
      </c>
      <c r="G14" s="38">
        <f>G11+G13</f>
        <v>120015.3867279544</v>
      </c>
    </row>
    <row r="15">
      <c r="A15" s="5" t="inlineStr">
        <is>
          <t>Overhead (10.0% of running subtotal)</t>
        </is>
      </c>
      <c r="F15" s="37">
        <f>oh_pct</f>
        <v>0.1</v>
      </c>
      <c r="G15" s="38">
        <f>G14*F15</f>
        <v>12001.538672795441</v>
      </c>
    </row>
    <row r="16">
      <c r="A16" s="22" t="inlineStr">
        <is>
          <t>Running subtotal</t>
        </is>
      </c>
      <c r="G16" s="38">
        <f>G14+G15</f>
        <v>132016.92540074984</v>
      </c>
    </row>
    <row r="17">
      <c r="A17" s="5" t="inlineStr">
        <is>
          <t>Profit (10.0% of running subtotal)</t>
        </is>
      </c>
      <c r="F17" s="37">
        <f>profit_pct</f>
        <v>0.1</v>
      </c>
      <c r="G17" s="38">
        <f>G16*F17</f>
        <v>13201.692540074984</v>
      </c>
    </row>
    <row r="18">
      <c r="A18" s="22" t="inlineStr">
        <is>
          <t>Running subtotal</t>
        </is>
      </c>
      <c r="G18" s="38">
        <f>G16+G17</f>
        <v>145218.61794082483</v>
      </c>
    </row>
    <row r="19">
      <c r="A19" s="19" t="inlineStr">
        <is>
          <t>SAMPLE TOTAL (illustrative)</t>
        </is>
      </c>
      <c r="G19" s="39">
        <f>G18</f>
        <v>145218.61794082483</v>
      </c>
    </row>
    <row r="20">
      <c r="A20" s="5" t="inlineStr">
        <is>
          <t>Cost per SF</t>
        </is>
      </c>
      <c r="G20" s="38">
        <f>G19/gross_sf</f>
        <v>24.20310299013747</v>
      </c>
    </row>
    <row r="22" ht="40" customHeight="1">
      <c r="A22" s="40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</sheetData>
  <mergeCells count="2">
    <mergeCell ref="A3:G3"/>
    <mergeCell ref="A22:G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2026-09-26T09:13:07Z</dcterms:created>
  <dcterms:modified xsi:type="dcterms:W3CDTF">2026-09-26T09:13:07Z</dcterms:modified>
</cp:coreProperties>
</file>