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 &amp; Basis" sheetId="1" state="visible" r:id="rId1"/>
    <sheet name="Quantity Takeoff" sheetId="2" state="visible" r:id="rId2"/>
    <sheet name="Pricing" sheetId="3" state="visible" r:id="rId3"/>
    <sheet name="Summary" sheetId="4" state="visible" r:id="rId4"/>
  </sheets>
  <definedNames>
    <definedName name="bldg_len">'Cover &amp; Basis'!$D$12</definedName>
    <definedName name="bldg_wid">'Cover &amp; Basis'!$D$13</definedName>
    <definedName name="bldg_area">'Cover &amp; Basis'!$D$14</definedName>
    <definedName name="bay_x">'Cover &amp; Basis'!$D$15</definedName>
    <definedName name="bay_y">'Cover &amp; Basis'!$D$16</definedName>
    <definedName name="n_colint">'Cover &amp; Basis'!$D$17</definedName>
    <definedName name="ftg_w">'Cover &amp; Basis'!$D$18</definedName>
    <definedName name="ftg_d">'Cover &amp; Basis'!$D$19</definedName>
    <definedName name="ftg_cl">'Cover &amp; Basis'!$D$20</definedName>
    <definedName name="sf_size">'Cover &amp; Basis'!$D$21</definedName>
    <definedName name="sf_d">'Cover &amp; Basis'!$D$22</definedName>
    <definedName name="stem_t">'Cover &amp; Basis'!$D$23</definedName>
    <definedName name="stem_h">'Cover &amp; Basis'!$D$24</definedName>
    <definedName name="stem_cl">'Cover &amp; Basis'!$D$25</definedName>
    <definedName name="sog_t">'Cover &amp; Basis'!$D$26</definedName>
    <definedName name="slab_len">'Cover &amp; Basis'!$D$27</definedName>
    <definedName name="slab_wid">'Cover &amp; Basis'!$D$28</definedName>
    <definedName name="slab_area">'Cover &amp; Basis'!$D$29</definedName>
    <definedName name="base_t">'Cover &amp; Basis'!$D$30</definedName>
    <definedName name="cj_sp">'Cover &amp; Basis'!$D$31</definedName>
    <definedName name="box_side">'Cover &amp; Basis'!$D$32</definedName>
    <definedName name="pour_max">'Cover &amp; Basis'!$D$33</definedName>
    <definedName name="bar_stock">'Cover &amp; Basis'!$D$34</definedName>
    <definedName name="lap_4">'Cover &amp; Basis'!$D$35</definedName>
    <definedName name="lap_5">'Cover &amp; Basis'!$D$36</definedName>
    <definedName name="wt_4">'Cover &amp; Basis'!$D$37</definedName>
    <definedName name="wt_5">'Cover &amp; Basis'!$D$38</definedName>
    <definedName name="ftg_bars">'Cover &amp; Basis'!$D$39</definedName>
    <definedName name="corner_len">'Cover &amp; Basis'!$D$40</definedName>
    <definedName name="stem_vsp">'Cover &amp; Basis'!$D$41</definedName>
    <definedName name="vert_len">'Cover &amp; Basis'!$D$42</definedName>
    <definedName name="stem_rows">'Cover &amp; Basis'!$D$43</definedName>
    <definedName name="sf_cover">'Cover &amp; Basis'!$D$44</definedName>
    <definedName name="sf_sp">'Cover &amp; Basis'!$D$45</definedName>
    <definedName name="sog_sp">'Cover &amp; Basis'!$D$46</definedName>
    <definedName name="chair_sf">'Cover &amp; Basis'!$D$47</definedName>
    <definedName name="rate_conc">'Cover &amp; Basis'!$D$48</definedName>
    <definedName name="rate_rebar">'Cover &amp; Basis'!$D$49</definedName>
    <definedName name="rate_finish">'Cover &amp; Basis'!$D$50</definedName>
    <definedName name="tax_rate">'Cover &amp; Basis'!$D$51</definedName>
    <definedName name="oh_pct">'Cover &amp; Basis'!$D$52</definedName>
    <definedName name="profit_pct">'Cover &amp; Basis'!$D$53</definedName>
    <definedName name="cf_cy">'Quantity Takeoff'!$E$6</definedName>
    <definedName name="cf_cy_w">'Quantity Takeoff'!$H$6</definedName>
    <definedName name="cf_barlf">'Quantity Takeoff'!$E$8</definedName>
    <definedName name="cf_barlf_w">'Quantity Takeoff'!$H$8</definedName>
    <definedName name="stem_vn">'Quantity Takeoff'!$E$12</definedName>
    <definedName name="stem_vn_w">'Quantity Takeoff'!$H$12</definedName>
    <definedName name="stem_vlf">'Quantity Takeoff'!$E$13</definedName>
    <definedName name="stem_vlf_w">'Quantity Takeoff'!$H$13</definedName>
    <definedName name="stem_hlf">'Quantity Takeoff'!$E$14</definedName>
    <definedName name="stem_hlf_w">'Quantity Takeoff'!$H$14</definedName>
    <definedName name="sf_barlf">'Quantity Takeoff'!$E$19</definedName>
    <definedName name="sf_barlf_w">'Quantity Takeoff'!$H$19</definedName>
    <definedName name="sog_barlf">'Quantity Takeoff'!$E$23</definedName>
    <definedName name="sog_barlf_w">'Quantity Takeoff'!$H$23</definedName>
    <definedName name="sog_cy">'Quantity Takeoff'!$E$26</definedName>
    <definedName name="sog_cy_w">'Quantity Takeoff'!$H$26</definedName>
    <definedName name="_xlnm._FilterDatabase" localSheetId="1" hidden="1">'Quantity Takeoff'!$A$5:$J$32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####"/>
    <numFmt numFmtId="165" formatCode="0.0%"/>
    <numFmt numFmtId="166" formatCode="#,##0.00;(#,##0.00);&quot;-&quot;"/>
    <numFmt numFmtId="167" formatCode="$#,##0.00;($#,##0.00);&quot;-&quot;"/>
    <numFmt numFmtId="168" formatCode="0.0000"/>
    <numFmt numFmtId="169" formatCode="#,##0.0"/>
    <numFmt numFmtId="170" formatCode="$#,##0;($#,##0);&quot;-&quot;"/>
  </numFmts>
  <fonts count="15">
    <font>
      <name val="Calibri"/>
      <family val="2"/>
      <color theme="1"/>
      <sz val="11"/>
      <scheme val="minor"/>
    </font>
    <font>
      <name val="Arial"/>
      <b val="1"/>
      <color rgb="00FF6B35"/>
      <sz val="16"/>
    </font>
    <font>
      <name val="Arial"/>
      <b val="1"/>
      <color rgb="000B132B"/>
      <sz val="12"/>
    </font>
    <font>
      <name val="Arial"/>
      <i val="1"/>
      <color rgb="007A2E0E"/>
      <sz val="8"/>
    </font>
    <font>
      <name val="Arial"/>
      <b val="1"/>
      <sz val="9"/>
    </font>
    <font>
      <name val="Arial"/>
      <sz val="9"/>
    </font>
    <font>
      <name val="Arial"/>
      <b val="1"/>
      <color rgb="00FFFFFF"/>
      <sz val="9"/>
    </font>
    <font>
      <name val="Consolas"/>
      <color rgb="00555555"/>
      <sz val="9"/>
    </font>
    <font>
      <name val="Arial"/>
      <color rgb="000000FF"/>
      <sz val="9"/>
    </font>
    <font>
      <name val="Arial"/>
      <color rgb="00555555"/>
      <sz val="8"/>
    </font>
    <font>
      <name val="Consolas"/>
      <color rgb="00444444"/>
      <sz val="8"/>
    </font>
    <font>
      <name val="Arial"/>
      <sz val="8"/>
    </font>
    <font>
      <name val="Arial"/>
      <color rgb="00008000"/>
      <sz val="9"/>
    </font>
    <font>
      <name val="Arial"/>
      <i val="1"/>
      <color rgb="00555555"/>
      <sz val="8"/>
    </font>
    <font>
      <name val="Arial"/>
      <i val="1"/>
      <sz val="8"/>
    </font>
  </fonts>
  <fills count="5">
    <fill>
      <patternFill/>
    </fill>
    <fill>
      <patternFill patternType="gray125"/>
    </fill>
    <fill>
      <patternFill patternType="solid">
        <fgColor rgb="00FFF5F0"/>
      </patternFill>
    </fill>
    <fill>
      <patternFill patternType="solid">
        <fgColor rgb="000B132B"/>
      </patternFill>
    </fill>
    <fill>
      <patternFill patternType="solid">
        <fgColor rgb="00FFE3D6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center" wrapText="1"/>
    </xf>
    <xf numFmtId="0" fontId="5" fillId="0" borderId="1" pivotButton="0" quotePrefix="0" xfId="0"/>
    <xf numFmtId="0" fontId="7" fillId="0" borderId="1" pivotButton="0" quotePrefix="0" xfId="0"/>
    <xf numFmtId="164" fontId="8" fillId="0" borderId="1" pivotButton="0" quotePrefix="0" xfId="0"/>
    <xf numFmtId="0" fontId="5" fillId="0" borderId="1" applyAlignment="1" pivotButton="0" quotePrefix="0" xfId="0">
      <alignment vertical="top" wrapText="1"/>
    </xf>
    <xf numFmtId="164" fontId="5" fillId="0" borderId="1" pivotButton="0" quotePrefix="0" xfId="0"/>
    <xf numFmtId="165" fontId="8" fillId="0" borderId="1" pivotButton="0" quotePrefix="0" xfId="0"/>
    <xf numFmtId="0" fontId="9" fillId="0" borderId="0" pivotButton="0" quotePrefix="0" xfId="0"/>
    <xf numFmtId="166" fontId="5" fillId="0" borderId="1" pivotButton="0" quotePrefix="0" xfId="0"/>
    <xf numFmtId="166" fontId="4" fillId="0" borderId="1" pivotButton="0" quotePrefix="0" xfId="0"/>
    <xf numFmtId="0" fontId="1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166" fontId="12" fillId="0" borderId="1" pivotButton="0" quotePrefix="0" xfId="0"/>
    <xf numFmtId="167" fontId="8" fillId="0" borderId="1" pivotButton="0" quotePrefix="0" xfId="0"/>
    <xf numFmtId="167" fontId="5" fillId="0" borderId="1" pivotButton="0" quotePrefix="0" xfId="0"/>
    <xf numFmtId="168" fontId="8" fillId="0" borderId="1" pivotButton="0" quotePrefix="0" xfId="0"/>
    <xf numFmtId="169" fontId="5" fillId="0" borderId="1" pivotButton="0" quotePrefix="0" xfId="0"/>
    <xf numFmtId="167" fontId="12" fillId="0" borderId="1" pivotButton="0" quotePrefix="0" xfId="0"/>
    <xf numFmtId="167" fontId="4" fillId="0" borderId="1" pivotButton="0" quotePrefix="0" xfId="0"/>
    <xf numFmtId="0" fontId="4" fillId="4" borderId="0" pivotButton="0" quotePrefix="0" xfId="0"/>
    <xf numFmtId="167" fontId="4" fillId="4" borderId="0" pivotButton="0" quotePrefix="0" xfId="0"/>
    <xf numFmtId="169" fontId="4" fillId="4" borderId="0" pivotButton="0" quotePrefix="0" xfId="0"/>
    <xf numFmtId="0" fontId="13" fillId="0" borderId="0" pivotButton="0" quotePrefix="0" xfId="0"/>
    <xf numFmtId="165" fontId="12" fillId="0" borderId="0" pivotButton="0" quotePrefix="0" xfId="0"/>
    <xf numFmtId="167" fontId="5" fillId="0" borderId="0" pivotButton="0" quotePrefix="0" xfId="0"/>
    <xf numFmtId="170" fontId="4" fillId="4" borderId="0" pivotButton="0" quotePrefix="0" xfId="0"/>
    <xf numFmtId="0" fontId="1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44" customWidth="1" min="2" max="2"/>
    <col width="22" customWidth="1" min="3" max="3"/>
    <col width="14" customWidth="1" min="4" max="4"/>
    <col width="10" customWidth="1" min="5" max="5"/>
    <col width="60" customWidth="1" min="6" max="6"/>
  </cols>
  <sheetData>
    <row r="1">
      <c r="A1" s="1" t="inlineStr">
        <is>
          <t>F&amp;K Estimatings</t>
        </is>
      </c>
    </row>
    <row r="2">
      <c r="A2" s="2" t="inlineStr">
        <is>
          <t>Concrete Takeoff Sample — Cover &amp; Basis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5">
      <c r="A5" s="4" t="inlineStr">
        <is>
          <t>Project</t>
        </is>
      </c>
      <c r="B5" s="4" t="inlineStr">
        <is>
          <t>Representative sample project: 100' x 60' single-story commercial building (6,000 SF slab-on-grade)</t>
        </is>
      </c>
    </row>
    <row r="6">
      <c r="A6" s="4" t="inlineStr">
        <is>
          <t>Trade / CSI</t>
        </is>
      </c>
      <c r="B6" s="5" t="inlineStr">
        <is>
          <t>Concrete — CSI Division 03</t>
        </is>
      </c>
    </row>
    <row r="7" ht="48" customHeight="1">
      <c r="A7" s="4" t="inlineStr">
        <is>
          <t>Description</t>
        </is>
      </c>
      <c r="B7" s="6" t="inlineStr">
        <is>
          <t>Single-story commercial shell on a 20' x 20' column grid. Continuous perimeter footing with an 8" cast-in-place stem wall, isolated spread footings at the interior columns, and a 5" reinforced slab-on-grade over a vapor retarder and 4" granular base. Perimeter columns bear on the continuous footing in this sample. All dimensions are defined below; quantities are computed from them.</t>
        </is>
      </c>
    </row>
    <row r="8">
      <c r="A8" s="4" t="inlineStr">
        <is>
          <t>Prepared by</t>
        </is>
      </c>
      <c r="B8" s="5" t="inlineStr">
        <is>
          <t>F&amp;K Estimatings (fandkestimatings.us) — sample for format illustration only</t>
        </is>
      </c>
    </row>
    <row r="10">
      <c r="A10" s="2" t="inlineStr">
        <is>
          <t>ASSUMPTIONS &amp; BASIS — blue values are inputs; change one and the workbook recalculates</t>
        </is>
      </c>
    </row>
    <row r="11" ht="26" customHeight="1">
      <c r="A11" s="7" t="inlineStr">
        <is>
          <t>Section</t>
        </is>
      </c>
      <c r="B11" s="7" t="inlineStr">
        <is>
          <t>Parameter</t>
        </is>
      </c>
      <c r="C11" s="7" t="inlineStr">
        <is>
          <t>Name used in formulas</t>
        </is>
      </c>
      <c r="D11" s="7" t="inlineStr">
        <is>
          <t>Value</t>
        </is>
      </c>
      <c r="E11" s="7" t="inlineStr">
        <is>
          <t>Unit</t>
        </is>
      </c>
      <c r="F11" s="7" t="inlineStr">
        <is>
          <t>Note / basis</t>
        </is>
      </c>
    </row>
    <row r="12">
      <c r="A12" s="8" t="inlineStr">
        <is>
          <t>Building</t>
        </is>
      </c>
      <c r="B12" s="8" t="inlineStr">
        <is>
          <t>Building length (outside face)</t>
        </is>
      </c>
      <c r="C12" s="9" t="inlineStr">
        <is>
          <t>bldg_len</t>
        </is>
      </c>
      <c r="D12" s="10" t="n">
        <v>100</v>
      </c>
      <c r="E12" s="8" t="inlineStr">
        <is>
          <t>ft</t>
        </is>
      </c>
      <c r="F12" s="11" t="inlineStr">
        <is>
          <t>Sample sheet S-101</t>
        </is>
      </c>
    </row>
    <row r="13">
      <c r="A13" s="8" t="inlineStr">
        <is>
          <t>Building</t>
        </is>
      </c>
      <c r="B13" s="8" t="inlineStr">
        <is>
          <t>Building width (outside face)</t>
        </is>
      </c>
      <c r="C13" s="9" t="inlineStr">
        <is>
          <t>bldg_wid</t>
        </is>
      </c>
      <c r="D13" s="10" t="n">
        <v>60</v>
      </c>
      <c r="E13" s="8" t="inlineStr">
        <is>
          <t>ft</t>
        </is>
      </c>
      <c r="F13" s="11" t="inlineStr">
        <is>
          <t>Sample sheet S-101</t>
        </is>
      </c>
    </row>
    <row r="14">
      <c r="A14" s="8" t="inlineStr">
        <is>
          <t>Building</t>
        </is>
      </c>
      <c r="B14" s="8" t="inlineStr">
        <is>
          <t>Gross building area</t>
        </is>
      </c>
      <c r="C14" s="9" t="inlineStr">
        <is>
          <t>bldg_area</t>
        </is>
      </c>
      <c r="D14" s="12">
        <f>bldg_len*bldg_wid</f>
        <v>6000.0</v>
      </c>
      <c r="E14" s="8" t="inlineStr">
        <is>
          <t>SF</t>
        </is>
      </c>
      <c r="F14" s="11" t="inlineStr"/>
    </row>
    <row r="15">
      <c r="A15" s="8" t="inlineStr">
        <is>
          <t>Building</t>
        </is>
      </c>
      <c r="B15" s="8" t="inlineStr">
        <is>
          <t>Column bay spacing, length direction</t>
        </is>
      </c>
      <c r="C15" s="9" t="inlineStr">
        <is>
          <t>bay_x</t>
        </is>
      </c>
      <c r="D15" s="10" t="n">
        <v>20</v>
      </c>
      <c r="E15" s="8" t="inlineStr">
        <is>
          <t>ft</t>
        </is>
      </c>
      <c r="F15" s="11" t="inlineStr">
        <is>
          <t>5 bays</t>
        </is>
      </c>
    </row>
    <row r="16">
      <c r="A16" s="8" t="inlineStr">
        <is>
          <t>Building</t>
        </is>
      </c>
      <c r="B16" s="8" t="inlineStr">
        <is>
          <t>Column bay spacing, width direction</t>
        </is>
      </c>
      <c r="C16" s="9" t="inlineStr">
        <is>
          <t>bay_y</t>
        </is>
      </c>
      <c r="D16" s="10" t="n">
        <v>20</v>
      </c>
      <c r="E16" s="8" t="inlineStr">
        <is>
          <t>ft</t>
        </is>
      </c>
      <c r="F16" s="11" t="inlineStr">
        <is>
          <t>3 bays</t>
        </is>
      </c>
    </row>
    <row r="17">
      <c r="A17" s="8" t="inlineStr">
        <is>
          <t>Building</t>
        </is>
      </c>
      <c r="B17" s="8" t="inlineStr">
        <is>
          <t>Interior columns (spread footings)</t>
        </is>
      </c>
      <c r="C17" s="9" t="inlineStr">
        <is>
          <t>n_colint</t>
        </is>
      </c>
      <c r="D17" s="12">
        <f>(bldg_len/bay_x-1)*(bldg_wid/bay_y-1)</f>
        <v>8.0</v>
      </c>
      <c r="E17" s="8" t="inlineStr">
        <is>
          <t>EA</t>
        </is>
      </c>
      <c r="F17" s="11" t="inlineStr">
        <is>
          <t>Interior grid intersections</t>
        </is>
      </c>
    </row>
    <row r="18">
      <c r="A18" s="8" t="inlineStr">
        <is>
          <t>Footings</t>
        </is>
      </c>
      <c r="B18" s="8" t="inlineStr">
        <is>
          <t>Continuous footing width</t>
        </is>
      </c>
      <c r="C18" s="9" t="inlineStr">
        <is>
          <t>ftg_w</t>
        </is>
      </c>
      <c r="D18" s="10" t="n">
        <v>2</v>
      </c>
      <c r="E18" s="8" t="inlineStr">
        <is>
          <t>ft</t>
        </is>
      </c>
      <c r="F18" s="11" t="inlineStr">
        <is>
          <t>24" wide, outside face flush with building line</t>
        </is>
      </c>
    </row>
    <row r="19">
      <c r="A19" s="8" t="inlineStr">
        <is>
          <t>Footings</t>
        </is>
      </c>
      <c r="B19" s="8" t="inlineStr">
        <is>
          <t>Continuous footing depth</t>
        </is>
      </c>
      <c r="C19" s="9" t="inlineStr">
        <is>
          <t>ftg_d</t>
        </is>
      </c>
      <c r="D19" s="10" t="n">
        <v>1</v>
      </c>
      <c r="E19" s="8" t="inlineStr">
        <is>
          <t>ft</t>
        </is>
      </c>
      <c r="F19" s="11" t="inlineStr">
        <is>
          <t>12" deep</t>
        </is>
      </c>
    </row>
    <row r="20">
      <c r="A20" s="8" t="inlineStr">
        <is>
          <t>Footings</t>
        </is>
      </c>
      <c r="B20" s="8" t="inlineStr">
        <is>
          <t>Continuous footing centerline length</t>
        </is>
      </c>
      <c r="C20" s="9" t="inlineStr">
        <is>
          <t>ftg_cl</t>
        </is>
      </c>
      <c r="D20" s="12">
        <f>2*(bldg_len+bldg_wid)-4*ftg_w</f>
        <v>312.0</v>
      </c>
      <c r="E20" s="8" t="inlineStr">
        <is>
          <t>LF</t>
        </is>
      </c>
      <c r="F20" s="11" t="inlineStr">
        <is>
          <t>Perimeter less 4 x footing width at the corners</t>
        </is>
      </c>
    </row>
    <row r="21">
      <c r="A21" s="8" t="inlineStr">
        <is>
          <t>Footings</t>
        </is>
      </c>
      <c r="B21" s="8" t="inlineStr">
        <is>
          <t>Spread footing plan size (square)</t>
        </is>
      </c>
      <c r="C21" s="9" t="inlineStr">
        <is>
          <t>sf_size</t>
        </is>
      </c>
      <c r="D21" s="10" t="n">
        <v>6</v>
      </c>
      <c r="E21" s="8" t="inlineStr">
        <is>
          <t>ft</t>
        </is>
      </c>
      <c r="F21" s="11" t="inlineStr">
        <is>
          <t>Type F1, 6'-0" x 6'-0"</t>
        </is>
      </c>
    </row>
    <row r="22">
      <c r="A22" s="8" t="inlineStr">
        <is>
          <t>Footings</t>
        </is>
      </c>
      <c r="B22" s="8" t="inlineStr">
        <is>
          <t>Spread footing depth</t>
        </is>
      </c>
      <c r="C22" s="9" t="inlineStr">
        <is>
          <t>sf_d</t>
        </is>
      </c>
      <c r="D22" s="10" t="n">
        <v>1.5</v>
      </c>
      <c r="E22" s="8" t="inlineStr">
        <is>
          <t>ft</t>
        </is>
      </c>
      <c r="F22" s="11" t="inlineStr">
        <is>
          <t>18"</t>
        </is>
      </c>
    </row>
    <row r="23">
      <c r="A23" s="8" t="inlineStr">
        <is>
          <t>Stem wall</t>
        </is>
      </c>
      <c r="B23" s="8" t="inlineStr">
        <is>
          <t>Stem wall thickness</t>
        </is>
      </c>
      <c r="C23" s="9" t="inlineStr">
        <is>
          <t>stem_t</t>
        </is>
      </c>
      <c r="D23" s="12">
        <f>8/12</f>
        <v>0.6666666666666666</v>
      </c>
      <c r="E23" s="8" t="inlineStr">
        <is>
          <t>ft</t>
        </is>
      </c>
      <c r="F23" s="11" t="inlineStr">
        <is>
          <t>8"</t>
        </is>
      </c>
    </row>
    <row r="24">
      <c r="A24" s="8" t="inlineStr">
        <is>
          <t>Stem wall</t>
        </is>
      </c>
      <c r="B24" s="8" t="inlineStr">
        <is>
          <t>Stem wall height (top of footing to top of slab)</t>
        </is>
      </c>
      <c r="C24" s="9" t="inlineStr">
        <is>
          <t>stem_h</t>
        </is>
      </c>
      <c r="D24" s="10" t="n">
        <v>3</v>
      </c>
      <c r="E24" s="8" t="inlineStr">
        <is>
          <t>ft</t>
        </is>
      </c>
      <c r="F24" s="11" t="inlineStr"/>
    </row>
    <row r="25">
      <c r="A25" s="8" t="inlineStr">
        <is>
          <t>Stem wall</t>
        </is>
      </c>
      <c r="B25" s="8" t="inlineStr">
        <is>
          <t>Stem wall centerline length</t>
        </is>
      </c>
      <c r="C25" s="9" t="inlineStr">
        <is>
          <t>stem_cl</t>
        </is>
      </c>
      <c r="D25" s="12">
        <f>2*(bldg_len+bldg_wid)-4*stem_t</f>
        <v>317.3333333333333</v>
      </c>
      <c r="E25" s="8" t="inlineStr">
        <is>
          <t>LF</t>
        </is>
      </c>
      <c r="F25" s="11" t="inlineStr">
        <is>
          <t>Outside face on building line</t>
        </is>
      </c>
    </row>
    <row r="26">
      <c r="A26" s="8" t="inlineStr">
        <is>
          <t>Slab</t>
        </is>
      </c>
      <c r="B26" s="8" t="inlineStr">
        <is>
          <t>Slab-on-grade thickness</t>
        </is>
      </c>
      <c r="C26" s="9" t="inlineStr">
        <is>
          <t>sog_t</t>
        </is>
      </c>
      <c r="D26" s="12">
        <f>5/12</f>
        <v>0.4166666666666667</v>
      </c>
      <c r="E26" s="8" t="inlineStr">
        <is>
          <t>ft</t>
        </is>
      </c>
      <c r="F26" s="11" t="inlineStr">
        <is>
          <t>5"</t>
        </is>
      </c>
    </row>
    <row r="27">
      <c r="A27" s="8" t="inlineStr">
        <is>
          <t>Slab</t>
        </is>
      </c>
      <c r="B27" s="8" t="inlineStr">
        <is>
          <t>Slab length (inside stem wall)</t>
        </is>
      </c>
      <c r="C27" s="9" t="inlineStr">
        <is>
          <t>slab_len</t>
        </is>
      </c>
      <c r="D27" s="12">
        <f>bldg_len-2*stem_t</f>
        <v>98.66666666666667</v>
      </c>
      <c r="E27" s="8" t="inlineStr">
        <is>
          <t>ft</t>
        </is>
      </c>
      <c r="F27" s="11" t="inlineStr"/>
    </row>
    <row r="28">
      <c r="A28" s="8" t="inlineStr">
        <is>
          <t>Slab</t>
        </is>
      </c>
      <c r="B28" s="8" t="inlineStr">
        <is>
          <t>Slab width (inside stem wall)</t>
        </is>
      </c>
      <c r="C28" s="9" t="inlineStr">
        <is>
          <t>slab_wid</t>
        </is>
      </c>
      <c r="D28" s="12">
        <f>bldg_wid-2*stem_t</f>
        <v>58.666666666666664</v>
      </c>
      <c r="E28" s="8" t="inlineStr">
        <is>
          <t>ft</t>
        </is>
      </c>
      <c r="F28" s="11" t="inlineStr"/>
    </row>
    <row r="29">
      <c r="A29" s="8" t="inlineStr">
        <is>
          <t>Slab</t>
        </is>
      </c>
      <c r="B29" s="8" t="inlineStr">
        <is>
          <t>Slab area</t>
        </is>
      </c>
      <c r="C29" s="9" t="inlineStr">
        <is>
          <t>slab_area</t>
        </is>
      </c>
      <c r="D29" s="12">
        <f>slab_len*slab_wid</f>
        <v>5788.444444444444</v>
      </c>
      <c r="E29" s="8" t="inlineStr">
        <is>
          <t>SF</t>
        </is>
      </c>
      <c r="F29" s="11" t="inlineStr"/>
    </row>
    <row r="30">
      <c r="A30" s="8" t="inlineStr">
        <is>
          <t>Slab</t>
        </is>
      </c>
      <c r="B30" s="8" t="inlineStr">
        <is>
          <t>Granular base thickness</t>
        </is>
      </c>
      <c r="C30" s="9" t="inlineStr">
        <is>
          <t>base_t</t>
        </is>
      </c>
      <c r="D30" s="12">
        <f>4/12</f>
        <v>0.3333333333333333</v>
      </c>
      <c r="E30" s="8" t="inlineStr">
        <is>
          <t>ft</t>
        </is>
      </c>
      <c r="F30" s="11" t="inlineStr">
        <is>
          <t>4" compacted aggregate</t>
        </is>
      </c>
    </row>
    <row r="31">
      <c r="A31" s="8" t="inlineStr">
        <is>
          <t>Slab</t>
        </is>
      </c>
      <c r="B31" s="8" t="inlineStr">
        <is>
          <t>Saw-cut control joint spacing (max)</t>
        </is>
      </c>
      <c r="C31" s="9" t="inlineStr">
        <is>
          <t>cj_sp</t>
        </is>
      </c>
      <c r="D31" s="10" t="n">
        <v>15</v>
      </c>
      <c r="E31" s="8" t="inlineStr">
        <is>
          <t>ft</t>
        </is>
      </c>
      <c r="F31" s="11" t="inlineStr">
        <is>
          <t>Each way</t>
        </is>
      </c>
    </row>
    <row r="32">
      <c r="A32" s="8" t="inlineStr">
        <is>
          <t>Slab</t>
        </is>
      </c>
      <c r="B32" s="8" t="inlineStr">
        <is>
          <t>Column isolation box-out side</t>
        </is>
      </c>
      <c r="C32" s="9" t="inlineStr">
        <is>
          <t>box_side</t>
        </is>
      </c>
      <c r="D32" s="10" t="n">
        <v>2</v>
      </c>
      <c r="E32" s="8" t="inlineStr">
        <is>
          <t>ft</t>
        </is>
      </c>
      <c r="F32" s="11" t="inlineStr">
        <is>
          <t>2'-0" square at each interior column</t>
        </is>
      </c>
    </row>
    <row r="33">
      <c r="A33" s="8" t="inlineStr">
        <is>
          <t>Slab</t>
        </is>
      </c>
      <c r="B33" s="8" t="inlineStr">
        <is>
          <t>Max slab placement per day</t>
        </is>
      </c>
      <c r="C33" s="9" t="inlineStr">
        <is>
          <t>pour_max</t>
        </is>
      </c>
      <c r="D33" s="10" t="n">
        <v>120</v>
      </c>
      <c r="E33" s="8" t="inlineStr">
        <is>
          <t>CY</t>
        </is>
      </c>
      <c r="F33" s="11" t="inlineStr">
        <is>
          <t>Crew/pump assumption</t>
        </is>
      </c>
    </row>
    <row r="34">
      <c r="A34" s="8" t="inlineStr">
        <is>
          <t>Rebar</t>
        </is>
      </c>
      <c r="B34" s="8" t="inlineStr">
        <is>
          <t>Stock bar length</t>
        </is>
      </c>
      <c r="C34" s="9" t="inlineStr">
        <is>
          <t>bar_stock</t>
        </is>
      </c>
      <c r="D34" s="10" t="n">
        <v>20</v>
      </c>
      <c r="E34" s="8" t="inlineStr">
        <is>
          <t>ft</t>
        </is>
      </c>
      <c r="F34" s="11" t="inlineStr"/>
    </row>
    <row r="35">
      <c r="A35" s="8" t="inlineStr">
        <is>
          <t>Rebar</t>
        </is>
      </c>
      <c r="B35" s="8" t="inlineStr">
        <is>
          <t>Lap splice #4</t>
        </is>
      </c>
      <c r="C35" s="9" t="inlineStr">
        <is>
          <t>lap_4</t>
        </is>
      </c>
      <c r="D35" s="10" t="n">
        <v>2</v>
      </c>
      <c r="E35" s="8" t="inlineStr">
        <is>
          <t>ft</t>
        </is>
      </c>
      <c r="F35" s="11" t="inlineStr">
        <is>
          <t>24" (48 bar diameters)</t>
        </is>
      </c>
    </row>
    <row r="36">
      <c r="A36" s="8" t="inlineStr">
        <is>
          <t>Rebar</t>
        </is>
      </c>
      <c r="B36" s="8" t="inlineStr">
        <is>
          <t>Lap splice #5</t>
        </is>
      </c>
      <c r="C36" s="9" t="inlineStr">
        <is>
          <t>lap_5</t>
        </is>
      </c>
      <c r="D36" s="10" t="n">
        <v>2.5</v>
      </c>
      <c r="E36" s="8" t="inlineStr">
        <is>
          <t>ft</t>
        </is>
      </c>
      <c r="F36" s="11" t="inlineStr">
        <is>
          <t>30" (48 bar diameters)</t>
        </is>
      </c>
    </row>
    <row r="37">
      <c r="A37" s="8" t="inlineStr">
        <is>
          <t>Rebar</t>
        </is>
      </c>
      <c r="B37" s="8" t="inlineStr">
        <is>
          <t>#4 bar weight</t>
        </is>
      </c>
      <c r="C37" s="9" t="inlineStr">
        <is>
          <t>wt_4</t>
        </is>
      </c>
      <c r="D37" s="10" t="n">
        <v>0.668</v>
      </c>
      <c r="E37" s="8" t="inlineStr">
        <is>
          <t>lb/ft</t>
        </is>
      </c>
      <c r="F37" s="11" t="inlineStr">
        <is>
          <t>ASTM A615 nominal</t>
        </is>
      </c>
    </row>
    <row r="38">
      <c r="A38" s="8" t="inlineStr">
        <is>
          <t>Rebar</t>
        </is>
      </c>
      <c r="B38" s="8" t="inlineStr">
        <is>
          <t>#5 bar weight</t>
        </is>
      </c>
      <c r="C38" s="9" t="inlineStr">
        <is>
          <t>wt_5</t>
        </is>
      </c>
      <c r="D38" s="10" t="n">
        <v>1.043</v>
      </c>
      <c r="E38" s="8" t="inlineStr">
        <is>
          <t>lb/ft</t>
        </is>
      </c>
      <c r="F38" s="11" t="inlineStr">
        <is>
          <t>ASTM A615 nominal</t>
        </is>
      </c>
    </row>
    <row r="39">
      <c r="A39" s="8" t="inlineStr">
        <is>
          <t>Rebar</t>
        </is>
      </c>
      <c r="B39" s="8" t="inlineStr">
        <is>
          <t>Continuous footing bottom bars</t>
        </is>
      </c>
      <c r="C39" s="9" t="inlineStr">
        <is>
          <t>ftg_bars</t>
        </is>
      </c>
      <c r="D39" s="10" t="n">
        <v>3</v>
      </c>
      <c r="E39" s="8" t="inlineStr">
        <is>
          <t>EA</t>
        </is>
      </c>
      <c r="F39" s="11" t="inlineStr">
        <is>
          <t>3 #5 continuous</t>
        </is>
      </c>
    </row>
    <row r="40">
      <c r="A40" s="8" t="inlineStr">
        <is>
          <t>Rebar</t>
        </is>
      </c>
      <c r="B40" s="8" t="inlineStr">
        <is>
          <t>Corner L-bar length (each)</t>
        </is>
      </c>
      <c r="C40" s="9" t="inlineStr">
        <is>
          <t>corner_len</t>
        </is>
      </c>
      <c r="D40" s="10" t="n">
        <v>5</v>
      </c>
      <c r="E40" s="8" t="inlineStr">
        <is>
          <t>ft</t>
        </is>
      </c>
      <c r="F40" s="11" t="inlineStr">
        <is>
          <t>2'-6" legs, one per continuous bar per corner</t>
        </is>
      </c>
    </row>
    <row r="41">
      <c r="A41" s="8" t="inlineStr">
        <is>
          <t>Rebar</t>
        </is>
      </c>
      <c r="B41" s="8" t="inlineStr">
        <is>
          <t>Stem wall vertical #5 spacing</t>
        </is>
      </c>
      <c r="C41" s="9" t="inlineStr">
        <is>
          <t>stem_vsp</t>
        </is>
      </c>
      <c r="D41" s="12">
        <f>16/12</f>
        <v>1.3333333333333333</v>
      </c>
      <c r="E41" s="8" t="inlineStr">
        <is>
          <t>ft</t>
        </is>
      </c>
      <c r="F41" s="11" t="inlineStr">
        <is>
          <t>#5 @ 16" o.c.</t>
        </is>
      </c>
    </row>
    <row r="42">
      <c r="A42" s="8" t="inlineStr">
        <is>
          <t>Rebar</t>
        </is>
      </c>
      <c r="B42" s="8" t="inlineStr">
        <is>
          <t>Stem wall vertical bar length</t>
        </is>
      </c>
      <c r="C42" s="9" t="inlineStr">
        <is>
          <t>vert_len</t>
        </is>
      </c>
      <c r="D42" s="12">
        <f>stem_h-2/12+ftg_d-3/12+1</f>
        <v>4.583333333333334</v>
      </c>
      <c r="E42" s="8" t="inlineStr">
        <is>
          <t>ft</t>
        </is>
      </c>
      <c r="F42" s="11" t="inlineStr">
        <is>
          <t>Wall less 2" cover + footing less 3" cover + 12" hook</t>
        </is>
      </c>
    </row>
    <row r="43">
      <c r="A43" s="8" t="inlineStr">
        <is>
          <t>Rebar</t>
        </is>
      </c>
      <c r="B43" s="8" t="inlineStr">
        <is>
          <t>Stem wall horizontal #4 rows</t>
        </is>
      </c>
      <c r="C43" s="9" t="inlineStr">
        <is>
          <t>stem_rows</t>
        </is>
      </c>
      <c r="D43" s="10" t="n">
        <v>3</v>
      </c>
      <c r="E43" s="8" t="inlineStr">
        <is>
          <t>EA</t>
        </is>
      </c>
      <c r="F43" s="11" t="inlineStr">
        <is>
          <t>3 #4 continuous</t>
        </is>
      </c>
    </row>
    <row r="44">
      <c r="A44" s="8" t="inlineStr">
        <is>
          <t>Rebar</t>
        </is>
      </c>
      <c r="B44" s="8" t="inlineStr">
        <is>
          <t>Spread footing side cover</t>
        </is>
      </c>
      <c r="C44" s="9" t="inlineStr">
        <is>
          <t>sf_cover</t>
        </is>
      </c>
      <c r="D44" s="10" t="n">
        <v>0.25</v>
      </c>
      <c r="E44" s="8" t="inlineStr">
        <is>
          <t>ft</t>
        </is>
      </c>
      <c r="F44" s="11" t="inlineStr">
        <is>
          <t>3"</t>
        </is>
      </c>
    </row>
    <row r="45">
      <c r="A45" s="8" t="inlineStr">
        <is>
          <t>Rebar</t>
        </is>
      </c>
      <c r="B45" s="8" t="inlineStr">
        <is>
          <t>Spread footing bar spacing</t>
        </is>
      </c>
      <c r="C45" s="9" t="inlineStr">
        <is>
          <t>sf_sp</t>
        </is>
      </c>
      <c r="D45" s="10" t="n">
        <v>1</v>
      </c>
      <c r="E45" s="8" t="inlineStr">
        <is>
          <t>ft</t>
        </is>
      </c>
      <c r="F45" s="11" t="inlineStr">
        <is>
          <t>#5 @ 12" o.c. each way</t>
        </is>
      </c>
    </row>
    <row r="46">
      <c r="A46" s="8" t="inlineStr">
        <is>
          <t>Rebar</t>
        </is>
      </c>
      <c r="B46" s="8" t="inlineStr">
        <is>
          <t>Slab bar spacing</t>
        </is>
      </c>
      <c r="C46" s="9" t="inlineStr">
        <is>
          <t>sog_sp</t>
        </is>
      </c>
      <c r="D46" s="10" t="n">
        <v>1.5</v>
      </c>
      <c r="E46" s="8" t="inlineStr">
        <is>
          <t>ft</t>
        </is>
      </c>
      <c r="F46" s="11" t="inlineStr">
        <is>
          <t>#4 @ 18" o.c. each way on chairs</t>
        </is>
      </c>
    </row>
    <row r="47">
      <c r="A47" s="8" t="inlineStr">
        <is>
          <t>Rebar</t>
        </is>
      </c>
      <c r="B47" s="8" t="inlineStr">
        <is>
          <t>Slab area per bar chair</t>
        </is>
      </c>
      <c r="C47" s="9" t="inlineStr">
        <is>
          <t>chair_sf</t>
        </is>
      </c>
      <c r="D47" s="10" t="n">
        <v>16</v>
      </c>
      <c r="E47" s="8" t="inlineStr">
        <is>
          <t>SF</t>
        </is>
      </c>
      <c r="F47" s="11" t="inlineStr">
        <is>
          <t>Chairs at 4'-0" o.c. each way</t>
        </is>
      </c>
    </row>
    <row r="48">
      <c r="A48" s="8" t="inlineStr">
        <is>
          <t>Rates</t>
        </is>
      </c>
      <c r="B48" s="8" t="inlineStr">
        <is>
          <t>Concrete crew labor rate (burdened)</t>
        </is>
      </c>
      <c r="C48" s="9" t="inlineStr">
        <is>
          <t>rate_conc</t>
        </is>
      </c>
      <c r="D48" s="10" t="n">
        <v>68</v>
      </c>
      <c r="E48" s="8" t="inlineStr">
        <is>
          <t>$/hr</t>
        </is>
      </c>
      <c r="F48" s="11" t="inlineStr">
        <is>
          <t>Illustrative</t>
        </is>
      </c>
    </row>
    <row r="49">
      <c r="A49" s="8" t="inlineStr">
        <is>
          <t>Rates</t>
        </is>
      </c>
      <c r="B49" s="8" t="inlineStr">
        <is>
          <t>Rodbuster labor rate (burdened)</t>
        </is>
      </c>
      <c r="C49" s="9" t="inlineStr">
        <is>
          <t>rate_rebar</t>
        </is>
      </c>
      <c r="D49" s="10" t="n">
        <v>74</v>
      </c>
      <c r="E49" s="8" t="inlineStr">
        <is>
          <t>$/hr</t>
        </is>
      </c>
      <c r="F49" s="11" t="inlineStr">
        <is>
          <t>Illustrative</t>
        </is>
      </c>
    </row>
    <row r="50">
      <c r="A50" s="8" t="inlineStr">
        <is>
          <t>Rates</t>
        </is>
      </c>
      <c r="B50" s="8" t="inlineStr">
        <is>
          <t>Cement finisher labor rate (burdened)</t>
        </is>
      </c>
      <c r="C50" s="9" t="inlineStr">
        <is>
          <t>rate_finish</t>
        </is>
      </c>
      <c r="D50" s="10" t="n">
        <v>70</v>
      </c>
      <c r="E50" s="8" t="inlineStr">
        <is>
          <t>$/hr</t>
        </is>
      </c>
      <c r="F50" s="11" t="inlineStr">
        <is>
          <t>Illustrative</t>
        </is>
      </c>
    </row>
    <row r="51">
      <c r="A51" s="8" t="inlineStr">
        <is>
          <t>Markups</t>
        </is>
      </c>
      <c r="B51" s="8" t="inlineStr">
        <is>
          <t>Sales tax on material</t>
        </is>
      </c>
      <c r="C51" s="9" t="inlineStr">
        <is>
          <t>tax_rate</t>
        </is>
      </c>
      <c r="D51" s="13" t="n">
        <v>0.07000000000000001</v>
      </c>
      <c r="E51" s="8" t="inlineStr">
        <is>
          <t>%</t>
        </is>
      </c>
      <c r="F51" s="11" t="inlineStr">
        <is>
          <t>Assumption; varies by state</t>
        </is>
      </c>
    </row>
    <row r="52">
      <c r="A52" s="8" t="inlineStr">
        <is>
          <t>Markups</t>
        </is>
      </c>
      <c r="B52" s="8" t="inlineStr">
        <is>
          <t>Overhead</t>
        </is>
      </c>
      <c r="C52" s="9" t="inlineStr">
        <is>
          <t>oh_pct</t>
        </is>
      </c>
      <c r="D52" s="13" t="n">
        <v>0.1</v>
      </c>
      <c r="E52" s="8" t="inlineStr">
        <is>
          <t>%</t>
        </is>
      </c>
      <c r="F52" s="11" t="inlineStr">
        <is>
          <t>Assumption</t>
        </is>
      </c>
    </row>
    <row r="53">
      <c r="A53" s="8" t="inlineStr">
        <is>
          <t>Markups</t>
        </is>
      </c>
      <c r="B53" s="8" t="inlineStr">
        <is>
          <t>Profit</t>
        </is>
      </c>
      <c r="C53" s="9" t="inlineStr">
        <is>
          <t>profit_pct</t>
        </is>
      </c>
      <c r="D53" s="13" t="n">
        <v>0.08</v>
      </c>
      <c r="E53" s="8" t="inlineStr">
        <is>
          <t>%</t>
        </is>
      </c>
      <c r="F53" s="11" t="inlineStr">
        <is>
          <t>Assumption</t>
        </is>
      </c>
    </row>
    <row r="55">
      <c r="A55" s="2" t="inlineStr">
        <is>
          <t>SCOPE INCLUDED</t>
        </is>
      </c>
    </row>
    <row r="56">
      <c r="B56" s="5" t="inlineStr">
        <is>
          <t>• Continuous and spread footings: concrete, forms, reinforcing</t>
        </is>
      </c>
    </row>
    <row r="57">
      <c r="B57" s="5" t="inlineStr">
        <is>
          <t>• Stem walls: concrete, forms, reinforcing</t>
        </is>
      </c>
    </row>
    <row r="58">
      <c r="B58" s="5" t="inlineStr">
        <is>
          <t>• Slab-on-grade: granular base, vapor retarder, reinforcing, placement, finish, joints, cure</t>
        </is>
      </c>
    </row>
    <row r="59">
      <c r="B59" s="5" t="inlineStr">
        <is>
          <t>• Concrete pump for the slab pour</t>
        </is>
      </c>
    </row>
    <row r="61">
      <c r="A61" s="2" t="inlineStr">
        <is>
          <t>EXCLUSIONS / BY OTHERS</t>
        </is>
      </c>
    </row>
    <row r="62">
      <c r="B62" s="5" t="inlineStr">
        <is>
          <t>• Excavation, backfill and subgrade preparation below the granular base (Div 31)</t>
        </is>
      </c>
    </row>
    <row r="63">
      <c r="B63" s="5" t="inlineStr">
        <is>
          <t>• Anchor bolts and embeds (by steel erector)</t>
        </is>
      </c>
    </row>
    <row r="64">
      <c r="B64" s="5" t="inlineStr">
        <is>
          <t>• Testing and inspection</t>
        </is>
      </c>
    </row>
    <row r="65">
      <c r="B65" s="5" t="inlineStr">
        <is>
          <t>• Winter protection / hot weather measures</t>
        </is>
      </c>
    </row>
    <row r="66">
      <c r="B66" s="5" t="inlineStr">
        <is>
          <t>• Building permit and engineering</t>
        </is>
      </c>
    </row>
    <row r="68">
      <c r="A68" s="2" t="inlineStr">
        <is>
          <t>SAMPLE DRAWING LIST (sheets of the representative sample project, not a real plan set)</t>
        </is>
      </c>
    </row>
    <row r="69">
      <c r="B69" s="5" t="inlineStr">
        <is>
          <t>• S-001 — General structural notes (sample)</t>
        </is>
      </c>
    </row>
    <row r="70">
      <c r="B70" s="5" t="inlineStr">
        <is>
          <t>• S-101 — Foundation plan, 100' x 60', 20' x 20' grid (sample)</t>
        </is>
      </c>
    </row>
    <row r="71">
      <c r="B71" s="5" t="inlineStr">
        <is>
          <t>• S-201 — Foundation sections: continuous footing / stem wall, F1 spread footing (sample)</t>
        </is>
      </c>
    </row>
    <row r="72">
      <c r="B72" s="5" t="inlineStr">
        <is>
          <t>• S-301 — Slab-on-grade joint layout (sample)</t>
        </is>
      </c>
    </row>
  </sheetData>
  <mergeCells count="2">
    <mergeCell ref="A3:F3"/>
    <mergeCell ref="B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1" customWidth="1" min="2" max="2"/>
    <col width="18" customWidth="1" min="3" max="3"/>
    <col width="44" customWidth="1" min="4" max="4"/>
    <col width="12" customWidth="1" min="5" max="5"/>
    <col width="7" customWidth="1" min="6" max="6"/>
    <col width="8" customWidth="1" min="7" max="7"/>
    <col width="13" customWidth="1" min="8" max="8"/>
    <col width="56" customWidth="1" min="9" max="9"/>
    <col width="36" customWidth="1" min="10" max="10"/>
  </cols>
  <sheetData>
    <row r="1">
      <c r="A1" s="1" t="inlineStr">
        <is>
          <t>F&amp;K Estimatings</t>
        </is>
      </c>
    </row>
    <row r="2">
      <c r="A2" s="2" t="inlineStr">
        <is>
          <t>Concrete Takeoff Sample — Quantity Takeoff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>
      <c r="A4" s="14" t="inlineStr">
        <is>
          <t>Qty column holds live formulas that reference the named assumptions on 'Cover &amp; Basis' (and the schedule sheets). Column I shows the same formula in readable form.</t>
        </is>
      </c>
    </row>
    <row r="5" ht="26" customHeight="1">
      <c r="A5" s="7" t="inlineStr">
        <is>
          <t>Item</t>
        </is>
      </c>
      <c r="B5" s="7" t="inlineStr">
        <is>
          <t>CSI</t>
        </is>
      </c>
      <c r="C5" s="7" t="inlineStr">
        <is>
          <t>Group</t>
        </is>
      </c>
      <c r="D5" s="7" t="inlineStr">
        <is>
          <t>Description</t>
        </is>
      </c>
      <c r="E5" s="7" t="inlineStr">
        <is>
          <t>Qty</t>
        </is>
      </c>
      <c r="F5" s="7" t="inlineStr">
        <is>
          <t>Unit</t>
        </is>
      </c>
      <c r="G5" s="7" t="inlineStr">
        <is>
          <t>Waste %</t>
        </is>
      </c>
      <c r="H5" s="7" t="inlineStr">
        <is>
          <t>Qty incl. waste</t>
        </is>
      </c>
      <c r="I5" s="7" t="inlineStr">
        <is>
          <t>Formula / basis</t>
        </is>
      </c>
      <c r="J5" s="7" t="inlineStr">
        <is>
          <t>Notes</t>
        </is>
      </c>
    </row>
    <row r="6">
      <c r="A6" s="8" t="n">
        <v>1</v>
      </c>
      <c r="B6" s="8" t="inlineStr">
        <is>
          <t>03 30 00</t>
        </is>
      </c>
      <c r="C6" s="8" t="inlineStr">
        <is>
          <t>Continuous footings</t>
        </is>
      </c>
      <c r="D6" s="11" t="inlineStr">
        <is>
          <t>Continuous footing concrete, 3,000 psi, 24" x 12"</t>
        </is>
      </c>
      <c r="E6" s="15">
        <f>ftg_cl*ftg_w*ftg_d/27</f>
        <v>23.11111111111111</v>
      </c>
      <c r="F6" s="8" t="inlineStr">
        <is>
          <t>CY</t>
        </is>
      </c>
      <c r="G6" s="13" t="n">
        <v>0.05</v>
      </c>
      <c r="H6" s="16">
        <f>E6*(1+G6)</f>
        <v>24.266666666666666</v>
      </c>
      <c r="I6" s="17" t="inlineStr">
        <is>
          <t>ftg_cl × ftg_w × ftg_d/27</t>
        </is>
      </c>
      <c r="J6" s="18" t="inlineStr"/>
    </row>
    <row r="7">
      <c r="A7" s="8" t="n">
        <v>2</v>
      </c>
      <c r="B7" s="8" t="inlineStr">
        <is>
          <t>03 11 13</t>
        </is>
      </c>
      <c r="C7" s="8" t="inlineStr">
        <is>
          <t>Continuous footings</t>
        </is>
      </c>
      <c r="D7" s="11" t="inlineStr">
        <is>
          <t>Continuous footing edge forms, both sides</t>
        </is>
      </c>
      <c r="E7" s="15">
        <f>2*ftg_cl*ftg_d</f>
        <v>624.0</v>
      </c>
      <c r="F7" s="8" t="inlineStr">
        <is>
          <t>SFCA</t>
        </is>
      </c>
      <c r="G7" s="13" t="n">
        <v>0</v>
      </c>
      <c r="H7" s="16">
        <f>E7*(1+G7)</f>
        <v>624.0</v>
      </c>
      <c r="I7" s="17" t="inlineStr">
        <is>
          <t>2 × ftg_cl × ftg_d</t>
        </is>
      </c>
      <c r="J7" s="18" t="inlineStr"/>
    </row>
    <row r="8">
      <c r="A8" s="8" t="n">
        <v>3</v>
      </c>
      <c r="B8" s="8" t="inlineStr">
        <is>
          <t>03 21 00</t>
        </is>
      </c>
      <c r="C8" s="8" t="inlineStr">
        <is>
          <t>Continuous footings</t>
        </is>
      </c>
      <c r="D8" s="11" t="inlineStr">
        <is>
          <t>Footing #5 bottom bars incl. laps + corner bars (LF)</t>
        </is>
      </c>
      <c r="E8" s="15">
        <f>ftg_bars*(ftg_cl+ROUNDUP(ftg_cl/(bar_stock-lap_5),0)*lap_5)+4*ftg_bars*corner_len</f>
        <v>1131.0</v>
      </c>
      <c r="F8" s="8" t="inlineStr">
        <is>
          <t>LF</t>
        </is>
      </c>
      <c r="G8" s="13" t="n">
        <v>0</v>
      </c>
      <c r="H8" s="16">
        <f>E8*(1+G8)</f>
        <v>1131.0</v>
      </c>
      <c r="I8" s="17" t="inlineStr">
        <is>
          <t>ftg_bars × (ftg_cl+ROUNDUP(ftg_cl/(bar_stock-lap_5),0) × lap_5)+4 × ftg_bars × corner_len</t>
        </is>
      </c>
      <c r="J8" s="18" t="inlineStr">
        <is>
          <t>Bars per run = ROUNDUP(run / (stock - lap)); one lap per bar on a closed loop</t>
        </is>
      </c>
    </row>
    <row r="9">
      <c r="A9" s="8" t="n">
        <v>4</v>
      </c>
      <c r="B9" s="8" t="inlineStr">
        <is>
          <t>03 21 00</t>
        </is>
      </c>
      <c r="C9" s="8" t="inlineStr">
        <is>
          <t>Continuous footings</t>
        </is>
      </c>
      <c r="D9" s="11" t="inlineStr">
        <is>
          <t>Footing rebar #5 (weight)</t>
        </is>
      </c>
      <c r="E9" s="15">
        <f>cf_barlf*wt_5</f>
        <v>1179.6329999999998</v>
      </c>
      <c r="F9" s="8" t="inlineStr">
        <is>
          <t>LB</t>
        </is>
      </c>
      <c r="G9" s="13" t="n">
        <v>0.05</v>
      </c>
      <c r="H9" s="16">
        <f>E9*(1+G9)</f>
        <v>1238.6146499999998</v>
      </c>
      <c r="I9" s="17" t="inlineStr">
        <is>
          <t>cf_barlf × wt_5</t>
        </is>
      </c>
      <c r="J9" s="18" t="inlineStr">
        <is>
          <t>15 hr/ton placing</t>
        </is>
      </c>
    </row>
    <row r="10">
      <c r="A10" s="8" t="n">
        <v>5</v>
      </c>
      <c r="B10" s="8" t="inlineStr">
        <is>
          <t>03 30 00</t>
        </is>
      </c>
      <c r="C10" s="8" t="inlineStr">
        <is>
          <t>Stem walls</t>
        </is>
      </c>
      <c r="D10" s="11" t="inlineStr">
        <is>
          <t>Stem wall concrete, 3,000 psi, 8" x 3'-0"</t>
        </is>
      </c>
      <c r="E10" s="15">
        <f>stem_cl*stem_t*stem_h/27</f>
        <v>23.50617283950617</v>
      </c>
      <c r="F10" s="8" t="inlineStr">
        <is>
          <t>CY</t>
        </is>
      </c>
      <c r="G10" s="13" t="n">
        <v>0.05</v>
      </c>
      <c r="H10" s="16">
        <f>E10*(1+G10)</f>
        <v>24.68148148148148</v>
      </c>
      <c r="I10" s="17" t="inlineStr">
        <is>
          <t>stem_cl × stem_t × stem_h/27</t>
        </is>
      </c>
      <c r="J10" s="18" t="inlineStr"/>
    </row>
    <row r="11">
      <c r="A11" s="8" t="n">
        <v>6</v>
      </c>
      <c r="B11" s="8" t="inlineStr">
        <is>
          <t>03 11 13</t>
        </is>
      </c>
      <c r="C11" s="8" t="inlineStr">
        <is>
          <t>Stem walls</t>
        </is>
      </c>
      <c r="D11" s="11" t="inlineStr">
        <is>
          <t>Stem wall forms, both faces</t>
        </is>
      </c>
      <c r="E11" s="15">
        <f>2*stem_cl*stem_h</f>
        <v>1904.0</v>
      </c>
      <c r="F11" s="8" t="inlineStr">
        <is>
          <t>SFCA</t>
        </is>
      </c>
      <c r="G11" s="13" t="n">
        <v>0</v>
      </c>
      <c r="H11" s="16">
        <f>E11*(1+G11)</f>
        <v>1904.0</v>
      </c>
      <c r="I11" s="17" t="inlineStr">
        <is>
          <t>2 × stem_cl × stem_h</t>
        </is>
      </c>
      <c r="J11" s="18" t="inlineStr"/>
    </row>
    <row r="12">
      <c r="A12" s="8" t="n">
        <v>7</v>
      </c>
      <c r="B12" s="8" t="inlineStr">
        <is>
          <t>03 21 00</t>
        </is>
      </c>
      <c r="C12" s="8" t="inlineStr">
        <is>
          <t>Stem walls</t>
        </is>
      </c>
      <c r="D12" s="11" t="inlineStr">
        <is>
          <t>Stem wall #5 verticals (count)</t>
        </is>
      </c>
      <c r="E12" s="15">
        <f>ROUNDUP(stem_cl/stem_vsp,0)</f>
        <v>238.0</v>
      </c>
      <c r="F12" s="8" t="inlineStr">
        <is>
          <t>EA</t>
        </is>
      </c>
      <c r="G12" s="13" t="n">
        <v>0</v>
      </c>
      <c r="H12" s="16">
        <f>E12*(1+G12)</f>
        <v>238.0</v>
      </c>
      <c r="I12" s="17" t="inlineStr">
        <is>
          <t>ROUNDUP(stem_cl/stem_vsp,0)</t>
        </is>
      </c>
      <c r="J12" s="18" t="inlineStr"/>
    </row>
    <row r="13">
      <c r="A13" s="8" t="n">
        <v>8</v>
      </c>
      <c r="B13" s="8" t="inlineStr">
        <is>
          <t>03 21 00</t>
        </is>
      </c>
      <c r="C13" s="8" t="inlineStr">
        <is>
          <t>Stem walls</t>
        </is>
      </c>
      <c r="D13" s="11" t="inlineStr">
        <is>
          <t>Stem wall #5 verticals (LF)</t>
        </is>
      </c>
      <c r="E13" s="15">
        <f>stem_vn*vert_len</f>
        <v>1090.8333333333335</v>
      </c>
      <c r="F13" s="8" t="inlineStr">
        <is>
          <t>LF</t>
        </is>
      </c>
      <c r="G13" s="13" t="n">
        <v>0</v>
      </c>
      <c r="H13" s="16">
        <f>E13*(1+G13)</f>
        <v>1090.8333333333335</v>
      </c>
      <c r="I13" s="17" t="inlineStr">
        <is>
          <t>stem_vn × vert_len</t>
        </is>
      </c>
      <c r="J13" s="18" t="inlineStr"/>
    </row>
    <row r="14">
      <c r="A14" s="8" t="n">
        <v>9</v>
      </c>
      <c r="B14" s="8" t="inlineStr">
        <is>
          <t>03 21 00</t>
        </is>
      </c>
      <c r="C14" s="8" t="inlineStr">
        <is>
          <t>Stem walls</t>
        </is>
      </c>
      <c r="D14" s="11" t="inlineStr">
        <is>
          <t>Stem wall #4 horizontals incl. laps (LF)</t>
        </is>
      </c>
      <c r="E14" s="15">
        <f>stem_rows*(stem_cl+ROUNDUP(stem_cl/(bar_stock-lap_4),0)*lap_4)</f>
        <v>1060.0</v>
      </c>
      <c r="F14" s="8" t="inlineStr">
        <is>
          <t>LF</t>
        </is>
      </c>
      <c r="G14" s="13" t="n">
        <v>0</v>
      </c>
      <c r="H14" s="16">
        <f>E14*(1+G14)</f>
        <v>1060.0</v>
      </c>
      <c r="I14" s="17" t="inlineStr">
        <is>
          <t>stem_rows × (stem_cl+ROUNDUP(stem_cl/(bar_stock-lap_4),0) × lap_4)</t>
        </is>
      </c>
      <c r="J14" s="18" t="inlineStr"/>
    </row>
    <row r="15">
      <c r="A15" s="8" t="n">
        <v>10</v>
      </c>
      <c r="B15" s="8" t="inlineStr">
        <is>
          <t>03 21 00</t>
        </is>
      </c>
      <c r="C15" s="8" t="inlineStr">
        <is>
          <t>Stem walls</t>
        </is>
      </c>
      <c r="D15" s="11" t="inlineStr">
        <is>
          <t>Stem wall rebar #5 (weight)</t>
        </is>
      </c>
      <c r="E15" s="15">
        <f>stem_vlf*wt_5</f>
        <v>1137.7391666666667</v>
      </c>
      <c r="F15" s="8" t="inlineStr">
        <is>
          <t>LB</t>
        </is>
      </c>
      <c r="G15" s="13" t="n">
        <v>0.05</v>
      </c>
      <c r="H15" s="16">
        <f>E15*(1+G15)</f>
        <v>1194.6261250000002</v>
      </c>
      <c r="I15" s="17" t="inlineStr">
        <is>
          <t>stem_vlf × wt_5</t>
        </is>
      </c>
      <c r="J15" s="18" t="inlineStr"/>
    </row>
    <row r="16">
      <c r="A16" s="8" t="n">
        <v>11</v>
      </c>
      <c r="B16" s="8" t="inlineStr">
        <is>
          <t>03 21 00</t>
        </is>
      </c>
      <c r="C16" s="8" t="inlineStr">
        <is>
          <t>Stem walls</t>
        </is>
      </c>
      <c r="D16" s="11" t="inlineStr">
        <is>
          <t>Stem wall rebar #4 (weight)</t>
        </is>
      </c>
      <c r="E16" s="15">
        <f>stem_hlf*wt_4</f>
        <v>708.08</v>
      </c>
      <c r="F16" s="8" t="inlineStr">
        <is>
          <t>LB</t>
        </is>
      </c>
      <c r="G16" s="13" t="n">
        <v>0.05</v>
      </c>
      <c r="H16" s="16">
        <f>E16*(1+G16)</f>
        <v>743.484</v>
      </c>
      <c r="I16" s="17" t="inlineStr">
        <is>
          <t>stem_hlf × wt_4</t>
        </is>
      </c>
      <c r="J16" s="18" t="inlineStr"/>
    </row>
    <row r="17">
      <c r="A17" s="8" t="n">
        <v>12</v>
      </c>
      <c r="B17" s="8" t="inlineStr">
        <is>
          <t>03 30 00</t>
        </is>
      </c>
      <c r="C17" s="8" t="inlineStr">
        <is>
          <t>Spread footings</t>
        </is>
      </c>
      <c r="D17" s="11" t="inlineStr">
        <is>
          <t>Spread footing F1 concrete, 6'-0" x 6'-0" x 18"</t>
        </is>
      </c>
      <c r="E17" s="15">
        <f>n_colint*sf_size*sf_size*sf_d/27</f>
        <v>16.0</v>
      </c>
      <c r="F17" s="8" t="inlineStr">
        <is>
          <t>CY</t>
        </is>
      </c>
      <c r="G17" s="13" t="n">
        <v>0.05</v>
      </c>
      <c r="H17" s="16">
        <f>E17*(1+G17)</f>
        <v>16.8</v>
      </c>
      <c r="I17" s="17" t="inlineStr">
        <is>
          <t>n_colint × sf_size × sf_size × sf_d/27</t>
        </is>
      </c>
      <c r="J17" s="18" t="inlineStr"/>
    </row>
    <row r="18">
      <c r="A18" s="8" t="n">
        <v>13</v>
      </c>
      <c r="B18" s="8" t="inlineStr">
        <is>
          <t>03 11 13</t>
        </is>
      </c>
      <c r="C18" s="8" t="inlineStr">
        <is>
          <t>Spread footings</t>
        </is>
      </c>
      <c r="D18" s="11" t="inlineStr">
        <is>
          <t>Spread footing forms, 4 sides</t>
        </is>
      </c>
      <c r="E18" s="15">
        <f>n_colint*4*sf_size*sf_d</f>
        <v>288.0</v>
      </c>
      <c r="F18" s="8" t="inlineStr">
        <is>
          <t>SFCA</t>
        </is>
      </c>
      <c r="G18" s="13" t="n">
        <v>0</v>
      </c>
      <c r="H18" s="16">
        <f>E18*(1+G18)</f>
        <v>288.0</v>
      </c>
      <c r="I18" s="17" t="inlineStr">
        <is>
          <t>n_colint × 4 × sf_size × sf_d</t>
        </is>
      </c>
      <c r="J18" s="18" t="inlineStr"/>
    </row>
    <row r="19">
      <c r="A19" s="8" t="n">
        <v>14</v>
      </c>
      <c r="B19" s="8" t="inlineStr">
        <is>
          <t>03 21 00</t>
        </is>
      </c>
      <c r="C19" s="8" t="inlineStr">
        <is>
          <t>Spread footings</t>
        </is>
      </c>
      <c r="D19" s="11" t="inlineStr">
        <is>
          <t>Spread footing #5 each way (LF)</t>
        </is>
      </c>
      <c r="E19" s="15">
        <f>n_colint*2*(ROUNDUP((sf_size-2*sf_cover)/sf_sp,0)+1)*(sf_size-2*sf_cover)</f>
        <v>616.0</v>
      </c>
      <c r="F19" s="8" t="inlineStr">
        <is>
          <t>LF</t>
        </is>
      </c>
      <c r="G19" s="13" t="n">
        <v>0</v>
      </c>
      <c r="H19" s="16">
        <f>E19*(1+G19)</f>
        <v>616.0</v>
      </c>
      <c r="I19" s="17" t="inlineStr">
        <is>
          <t>n_colint × 2 × (ROUNDUP((sf_size-2 × sf_cover)/sf_sp,0)+1) × (sf_size-2 × sf_cover)</t>
        </is>
      </c>
      <c r="J19" s="18" t="inlineStr">
        <is>
          <t>Bars per direction = ROUNDUP(clear width / spacing) + 1</t>
        </is>
      </c>
    </row>
    <row r="20">
      <c r="A20" s="8" t="n">
        <v>15</v>
      </c>
      <c r="B20" s="8" t="inlineStr">
        <is>
          <t>03 21 00</t>
        </is>
      </c>
      <c r="C20" s="8" t="inlineStr">
        <is>
          <t>Spread footings</t>
        </is>
      </c>
      <c r="D20" s="11" t="inlineStr">
        <is>
          <t>Spread footing rebar #5 (weight)</t>
        </is>
      </c>
      <c r="E20" s="15">
        <f>sf_barlf*wt_5</f>
        <v>642.4879999999999</v>
      </c>
      <c r="F20" s="8" t="inlineStr">
        <is>
          <t>LB</t>
        </is>
      </c>
      <c r="G20" s="13" t="n">
        <v>0.05</v>
      </c>
      <c r="H20" s="16">
        <f>E20*(1+G20)</f>
        <v>674.6124</v>
      </c>
      <c r="I20" s="17" t="inlineStr">
        <is>
          <t>sf_barlf × wt_5</t>
        </is>
      </c>
      <c r="J20" s="18" t="inlineStr"/>
    </row>
    <row r="21">
      <c r="A21" s="8" t="n">
        <v>16</v>
      </c>
      <c r="B21" s="8" t="inlineStr">
        <is>
          <t>31 23 23</t>
        </is>
      </c>
      <c r="C21" s="8" t="inlineStr">
        <is>
          <t>Slab on grade</t>
        </is>
      </c>
      <c r="D21" s="11" t="inlineStr">
        <is>
          <t>Granular base 4", placed &amp; compacted</t>
        </is>
      </c>
      <c r="E21" s="15">
        <f>slab_area*base_t/27</f>
        <v>71.46227709190671</v>
      </c>
      <c r="F21" s="8" t="inlineStr">
        <is>
          <t>CY</t>
        </is>
      </c>
      <c r="G21" s="13" t="n">
        <v>0.15</v>
      </c>
      <c r="H21" s="16">
        <f>E21*(1+G21)</f>
        <v>82.18161865569272</v>
      </c>
      <c r="I21" s="17" t="inlineStr">
        <is>
          <t>slab_area × base_t/27</t>
        </is>
      </c>
      <c r="J21" s="18" t="inlineStr">
        <is>
          <t>15% compaction/grade allowance</t>
        </is>
      </c>
    </row>
    <row r="22">
      <c r="A22" s="8" t="n">
        <v>17</v>
      </c>
      <c r="B22" s="8" t="inlineStr">
        <is>
          <t>03 15 00</t>
        </is>
      </c>
      <c r="C22" s="8" t="inlineStr">
        <is>
          <t>Slab on grade</t>
        </is>
      </c>
      <c r="D22" s="11" t="inlineStr">
        <is>
          <t>Vapor retarder 15 mil, taped laps</t>
        </is>
      </c>
      <c r="E22" s="15">
        <f>slab_area</f>
        <v>5788.444444444444</v>
      </c>
      <c r="F22" s="8" t="inlineStr">
        <is>
          <t>SF</t>
        </is>
      </c>
      <c r="G22" s="13" t="n">
        <v>0.1</v>
      </c>
      <c r="H22" s="16">
        <f>E22*(1+G22)</f>
        <v>6367.288888888889</v>
      </c>
      <c r="I22" s="17" t="inlineStr">
        <is>
          <t>slab_area</t>
        </is>
      </c>
      <c r="J22" s="18" t="inlineStr">
        <is>
          <t>10% laps and waste</t>
        </is>
      </c>
    </row>
    <row r="23">
      <c r="A23" s="8" t="n">
        <v>18</v>
      </c>
      <c r="B23" s="8" t="inlineStr">
        <is>
          <t>03 21 00</t>
        </is>
      </c>
      <c r="C23" s="8" t="inlineStr">
        <is>
          <t>Slab on grade</t>
        </is>
      </c>
      <c r="D23" s="11" t="inlineStr">
        <is>
          <t>Slab #4 @ 18" each way incl. laps (LF)</t>
        </is>
      </c>
      <c r="E23" s="15">
        <f>slab_area*2/sog_sp*bar_stock/(bar_stock-lap_4)</f>
        <v>8575.473251028807</v>
      </c>
      <c r="F23" s="8" t="inlineStr">
        <is>
          <t>LF</t>
        </is>
      </c>
      <c r="G23" s="13" t="n">
        <v>0</v>
      </c>
      <c r="H23" s="16">
        <f>E23*(1+G23)</f>
        <v>8575.473251028807</v>
      </c>
      <c r="I23" s="17" t="inlineStr">
        <is>
          <t>slab_area × 2/sog_sp × bar_stock/(bar_stock-lap_4)</t>
        </is>
      </c>
      <c r="J23" s="18" t="inlineStr">
        <is>
          <t>LF/SF = 2 / spacing; lap factor = stock / (stock - lap)</t>
        </is>
      </c>
    </row>
    <row r="24">
      <c r="A24" s="8" t="n">
        <v>19</v>
      </c>
      <c r="B24" s="8" t="inlineStr">
        <is>
          <t>03 21 00</t>
        </is>
      </c>
      <c r="C24" s="8" t="inlineStr">
        <is>
          <t>Slab on grade</t>
        </is>
      </c>
      <c r="D24" s="11" t="inlineStr">
        <is>
          <t>Slab rebar #4 (weight)</t>
        </is>
      </c>
      <c r="E24" s="15">
        <f>sog_barlf*wt_4</f>
        <v>5728.416131687243</v>
      </c>
      <c r="F24" s="8" t="inlineStr">
        <is>
          <t>LB</t>
        </is>
      </c>
      <c r="G24" s="13" t="n">
        <v>0.05</v>
      </c>
      <c r="H24" s="16">
        <f>E24*(1+G24)</f>
        <v>6014.8369382716055</v>
      </c>
      <c r="I24" s="17" t="inlineStr">
        <is>
          <t>sog_barlf × wt_4</t>
        </is>
      </c>
      <c r="J24" s="18" t="inlineStr">
        <is>
          <t>12 hr/ton placing</t>
        </is>
      </c>
    </row>
    <row r="25">
      <c r="A25" s="8" t="n">
        <v>20</v>
      </c>
      <c r="B25" s="8" t="inlineStr">
        <is>
          <t>03 21 00</t>
        </is>
      </c>
      <c r="C25" s="8" t="inlineStr">
        <is>
          <t>Slab on grade</t>
        </is>
      </c>
      <c r="D25" s="11" t="inlineStr">
        <is>
          <t>Bar chairs / supports</t>
        </is>
      </c>
      <c r="E25" s="15">
        <f>ROUNDUP(slab_area/chair_sf,0)</f>
        <v>362.0</v>
      </c>
      <c r="F25" s="8" t="inlineStr">
        <is>
          <t>EA</t>
        </is>
      </c>
      <c r="G25" s="13" t="n">
        <v>0</v>
      </c>
      <c r="H25" s="16">
        <f>E25*(1+G25)</f>
        <v>362.0</v>
      </c>
      <c r="I25" s="17" t="inlineStr">
        <is>
          <t>ROUNDUP(slab_area/chair_sf,0)</t>
        </is>
      </c>
      <c r="J25" s="18" t="inlineStr"/>
    </row>
    <row r="26">
      <c r="A26" s="8" t="n">
        <v>21</v>
      </c>
      <c r="B26" s="8" t="inlineStr">
        <is>
          <t>03 30 00</t>
        </is>
      </c>
      <c r="C26" s="8" t="inlineStr">
        <is>
          <t>Slab on grade</t>
        </is>
      </c>
      <c r="D26" s="11" t="inlineStr">
        <is>
          <t>Slab concrete, 4,000 psi, 5"</t>
        </is>
      </c>
      <c r="E26" s="15">
        <f>slab_area*sog_t/27</f>
        <v>89.3278463648834</v>
      </c>
      <c r="F26" s="8" t="inlineStr">
        <is>
          <t>CY</t>
        </is>
      </c>
      <c r="G26" s="13" t="n">
        <v>0.07000000000000001</v>
      </c>
      <c r="H26" s="16">
        <f>E26*(1+G26)</f>
        <v>95.58079561042524</v>
      </c>
      <c r="I26" s="17" t="inlineStr">
        <is>
          <t>slab_area × sog_t/27</t>
        </is>
      </c>
      <c r="J26" s="18" t="inlineStr">
        <is>
          <t>7% for subgrade variation and pump waste</t>
        </is>
      </c>
    </row>
    <row r="27">
      <c r="A27" s="8" t="n">
        <v>22</v>
      </c>
      <c r="B27" s="8" t="inlineStr">
        <is>
          <t>03 30 00</t>
        </is>
      </c>
      <c r="C27" s="8" t="inlineStr">
        <is>
          <t>Slab on grade</t>
        </is>
      </c>
      <c r="D27" s="11" t="inlineStr">
        <is>
          <t>Concrete pump for slab placement</t>
        </is>
      </c>
      <c r="E27" s="15">
        <f>ROUNDUP(sog_cy_w/pour_max,0)</f>
        <v>1.0</v>
      </c>
      <c r="F27" s="8" t="inlineStr">
        <is>
          <t>DAY</t>
        </is>
      </c>
      <c r="G27" s="13" t="n">
        <v>0</v>
      </c>
      <c r="H27" s="16">
        <f>E27*(1+G27)</f>
        <v>1.0</v>
      </c>
      <c r="I27" s="17" t="inlineStr">
        <is>
          <t>ROUNDUP(sog_cy_w/pour_max,0)</t>
        </is>
      </c>
      <c r="J27" s="18" t="inlineStr"/>
    </row>
    <row r="28">
      <c r="A28" s="8" t="n">
        <v>23</v>
      </c>
      <c r="B28" s="8" t="inlineStr">
        <is>
          <t>03 35 00</t>
        </is>
      </c>
      <c r="C28" s="8" t="inlineStr">
        <is>
          <t>Slab on grade</t>
        </is>
      </c>
      <c r="D28" s="11" t="inlineStr">
        <is>
          <t>Machine trowel finish</t>
        </is>
      </c>
      <c r="E28" s="15">
        <f>slab_area</f>
        <v>5788.444444444444</v>
      </c>
      <c r="F28" s="8" t="inlineStr">
        <is>
          <t>SF</t>
        </is>
      </c>
      <c r="G28" s="13" t="n">
        <v>0</v>
      </c>
      <c r="H28" s="16">
        <f>E28*(1+G28)</f>
        <v>5788.444444444444</v>
      </c>
      <c r="I28" s="17" t="inlineStr">
        <is>
          <t>slab_area</t>
        </is>
      </c>
      <c r="J28" s="18" t="inlineStr"/>
    </row>
    <row r="29">
      <c r="A29" s="8" t="n">
        <v>24</v>
      </c>
      <c r="B29" s="8" t="inlineStr">
        <is>
          <t>03 15 00</t>
        </is>
      </c>
      <c r="C29" s="8" t="inlineStr">
        <is>
          <t>Slab on grade</t>
        </is>
      </c>
      <c r="D29" s="11" t="inlineStr">
        <is>
          <t>Saw-cut control joints</t>
        </is>
      </c>
      <c r="E29" s="15">
        <f>(ROUNDUP(slab_wid/cj_sp,0)-1)*slab_len+(ROUNDUP(slab_len/cj_sp,0)-1)*slab_wid</f>
        <v>648.0</v>
      </c>
      <c r="F29" s="8" t="inlineStr">
        <is>
          <t>LF</t>
        </is>
      </c>
      <c r="G29" s="13" t="n">
        <v>0</v>
      </c>
      <c r="H29" s="16">
        <f>E29*(1+G29)</f>
        <v>648.0</v>
      </c>
      <c r="I29" s="17" t="inlineStr">
        <is>
          <t>(ROUNDUP(slab_wid/cj_sp,0)-1) × slab_len+(ROUNDUP(slab_len/cj_sp,0)-1) × slab_wid</t>
        </is>
      </c>
      <c r="J29" s="18" t="inlineStr">
        <is>
          <t>Joint lines = panels - 1 in each direction</t>
        </is>
      </c>
    </row>
    <row r="30">
      <c r="A30" s="8" t="n">
        <v>25</v>
      </c>
      <c r="B30" s="8" t="inlineStr">
        <is>
          <t>03 15 00</t>
        </is>
      </c>
      <c r="C30" s="8" t="inlineStr">
        <is>
          <t>Slab on grade</t>
        </is>
      </c>
      <c r="D30" s="11" t="inlineStr">
        <is>
          <t>Perimeter isolation joint, 1/2" filler</t>
        </is>
      </c>
      <c r="E30" s="15">
        <f>2*(slab_len+slab_wid)</f>
        <v>314.6666666666667</v>
      </c>
      <c r="F30" s="8" t="inlineStr">
        <is>
          <t>LF</t>
        </is>
      </c>
      <c r="G30" s="13" t="n">
        <v>0.05</v>
      </c>
      <c r="H30" s="16">
        <f>E30*(1+G30)</f>
        <v>330.40000000000003</v>
      </c>
      <c r="I30" s="17" t="inlineStr">
        <is>
          <t>2 × (slab_len+slab_wid)</t>
        </is>
      </c>
      <c r="J30" s="18" t="inlineStr"/>
    </row>
    <row r="31">
      <c r="A31" s="8" t="n">
        <v>26</v>
      </c>
      <c r="B31" s="8" t="inlineStr">
        <is>
          <t>03 15 00</t>
        </is>
      </c>
      <c r="C31" s="8" t="inlineStr">
        <is>
          <t>Slab on grade</t>
        </is>
      </c>
      <c r="D31" s="11" t="inlineStr">
        <is>
          <t>Column isolation box-outs</t>
        </is>
      </c>
      <c r="E31" s="15">
        <f>n_colint*4*box_side</f>
        <v>64.0</v>
      </c>
      <c r="F31" s="8" t="inlineStr">
        <is>
          <t>LF</t>
        </is>
      </c>
      <c r="G31" s="13" t="n">
        <v>0.05</v>
      </c>
      <c r="H31" s="16">
        <f>E31*(1+G31)</f>
        <v>67.2</v>
      </c>
      <c r="I31" s="17" t="inlineStr">
        <is>
          <t>n_colint × 4 × box_side</t>
        </is>
      </c>
      <c r="J31" s="18" t="inlineStr"/>
    </row>
    <row r="32">
      <c r="A32" s="8" t="n">
        <v>27</v>
      </c>
      <c r="B32" s="8" t="inlineStr">
        <is>
          <t>03 39 00</t>
        </is>
      </c>
      <c r="C32" s="8" t="inlineStr">
        <is>
          <t>Slab on grade</t>
        </is>
      </c>
      <c r="D32" s="11" t="inlineStr">
        <is>
          <t>Cure &amp; seal</t>
        </is>
      </c>
      <c r="E32" s="15">
        <f>slab_area</f>
        <v>5788.444444444444</v>
      </c>
      <c r="F32" s="8" t="inlineStr">
        <is>
          <t>SF</t>
        </is>
      </c>
      <c r="G32" s="13" t="n">
        <v>0.05</v>
      </c>
      <c r="H32" s="16">
        <f>E32*(1+G32)</f>
        <v>6077.866666666667</v>
      </c>
      <c r="I32" s="17" t="inlineStr">
        <is>
          <t>slab_area</t>
        </is>
      </c>
      <c r="J32" s="18" t="inlineStr"/>
    </row>
  </sheetData>
  <autoFilter ref="A5:J32"/>
  <mergeCells count="1">
    <mergeCell ref="A3:J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40" customWidth="1" min="3" max="3"/>
    <col width="12" customWidth="1" min="4" max="4"/>
    <col width="7" customWidth="1" min="5" max="5"/>
    <col width="11" customWidth="1" min="6" max="6"/>
    <col width="13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2" customWidth="1" min="13" max="13"/>
    <col width="14" customWidth="1" min="14" max="14"/>
  </cols>
  <sheetData>
    <row r="1">
      <c r="A1" s="1" t="inlineStr">
        <is>
          <t>F&amp;K Estimatings</t>
        </is>
      </c>
    </row>
    <row r="2">
      <c r="A2" s="2" t="inlineStr">
        <is>
          <t>Concrete Takeoff Sample — Pricing (illustrative unit costs)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4">
      <c r="A4" s="14" t="inlineStr">
        <is>
          <t>Unit costs and labor rates are illustrative, September 2026 national average; not a quote. Labor hr/unit = stated productivity. Rates are named assumptions.</t>
        </is>
      </c>
    </row>
    <row r="5" ht="26" customHeight="1">
      <c r="A5" s="7" t="inlineStr">
        <is>
          <t>Item</t>
        </is>
      </c>
      <c r="B5" s="7" t="inlineStr">
        <is>
          <t>Group</t>
        </is>
      </c>
      <c r="C5" s="7" t="inlineStr">
        <is>
          <t>Description</t>
        </is>
      </c>
      <c r="D5" s="7" t="inlineStr">
        <is>
          <t>Qty incl. waste</t>
        </is>
      </c>
      <c r="E5" s="7" t="inlineStr">
        <is>
          <t>Unit</t>
        </is>
      </c>
      <c r="F5" s="7" t="inlineStr">
        <is>
          <t>Material $/unit</t>
        </is>
      </c>
      <c r="G5" s="7" t="inlineStr">
        <is>
          <t>Material $</t>
        </is>
      </c>
      <c r="H5" s="7" t="inlineStr">
        <is>
          <t>Labor hr/unit</t>
        </is>
      </c>
      <c r="I5" s="7" t="inlineStr">
        <is>
          <t>Labor hrs</t>
        </is>
      </c>
      <c r="J5" s="7" t="inlineStr">
        <is>
          <t>Labor rate $/hr</t>
        </is>
      </c>
      <c r="K5" s="7" t="inlineStr">
        <is>
          <t>Labor $</t>
        </is>
      </c>
      <c r="L5" s="7" t="inlineStr">
        <is>
          <t>Equip $/unit</t>
        </is>
      </c>
      <c r="M5" s="7" t="inlineStr">
        <is>
          <t>Equip $</t>
        </is>
      </c>
      <c r="N5" s="7" t="inlineStr">
        <is>
          <t>Total $</t>
        </is>
      </c>
    </row>
    <row r="6">
      <c r="A6" s="8" t="n">
        <v>1</v>
      </c>
      <c r="B6" s="8" t="inlineStr">
        <is>
          <t>Continuous footings</t>
        </is>
      </c>
      <c r="C6" s="11" t="inlineStr">
        <is>
          <t>Continuous footing concrete, 3,000 psi, 24" x 12"</t>
        </is>
      </c>
      <c r="D6" s="19">
        <f>'Quantity Takeoff'!H6</f>
        <v>24.266666666666666</v>
      </c>
      <c r="E6" s="8" t="inlineStr">
        <is>
          <t>CY</t>
        </is>
      </c>
      <c r="F6" s="20" t="n">
        <v>165</v>
      </c>
      <c r="G6" s="21">
        <f>D6*F6</f>
        <v>4004.0</v>
      </c>
      <c r="H6" s="22" t="n">
        <v>0.45</v>
      </c>
      <c r="I6" s="23">
        <f>D6*H6</f>
        <v>10.92</v>
      </c>
      <c r="J6" s="24">
        <f>rate_conc</f>
        <v>68.0</v>
      </c>
      <c r="K6" s="21">
        <f>I6*J6</f>
        <v>742.56</v>
      </c>
      <c r="L6" s="20" t="n">
        <v>0</v>
      </c>
      <c r="M6" s="21">
        <f>D6*L6</f>
        <v>0.0</v>
      </c>
      <c r="N6" s="25">
        <f>G6+K6+M6</f>
        <v>4746.5599999999995</v>
      </c>
    </row>
    <row r="7">
      <c r="A7" s="8" t="n">
        <v>2</v>
      </c>
      <c r="B7" s="8" t="inlineStr">
        <is>
          <t>Continuous footings</t>
        </is>
      </c>
      <c r="C7" s="11" t="inlineStr">
        <is>
          <t>Continuous footing edge forms, both sides</t>
        </is>
      </c>
      <c r="D7" s="19">
        <f>'Quantity Takeoff'!H7</f>
        <v>624.0</v>
      </c>
      <c r="E7" s="8" t="inlineStr">
        <is>
          <t>SFCA</t>
        </is>
      </c>
      <c r="F7" s="20" t="n">
        <v>1.4</v>
      </c>
      <c r="G7" s="21">
        <f>D7*F7</f>
        <v>873.5999999999999</v>
      </c>
      <c r="H7" s="22" t="n">
        <v>0.07000000000000001</v>
      </c>
      <c r="I7" s="23">
        <f>D7*H7</f>
        <v>43.68000000000001</v>
      </c>
      <c r="J7" s="24">
        <f>rate_conc</f>
        <v>68.0</v>
      </c>
      <c r="K7" s="21">
        <f>I7*J7</f>
        <v>2970.2400000000007</v>
      </c>
      <c r="L7" s="20" t="n">
        <v>0</v>
      </c>
      <c r="M7" s="21">
        <f>D7*L7</f>
        <v>0.0</v>
      </c>
      <c r="N7" s="25">
        <f>G7+K7+M7</f>
        <v>3843.8400000000006</v>
      </c>
    </row>
    <row r="8">
      <c r="A8" s="8" t="n">
        <v>4</v>
      </c>
      <c r="B8" s="8" t="inlineStr">
        <is>
          <t>Continuous footings</t>
        </is>
      </c>
      <c r="C8" s="11" t="inlineStr">
        <is>
          <t>Footing rebar #5 (weight)</t>
        </is>
      </c>
      <c r="D8" s="19">
        <f>'Quantity Takeoff'!H9</f>
        <v>1238.6146499999998</v>
      </c>
      <c r="E8" s="8" t="inlineStr">
        <is>
          <t>LB</t>
        </is>
      </c>
      <c r="F8" s="20" t="n">
        <v>0.95</v>
      </c>
      <c r="G8" s="21">
        <f>D8*F8</f>
        <v>1176.6839174999998</v>
      </c>
      <c r="H8" s="22" t="n">
        <v>0.0075</v>
      </c>
      <c r="I8" s="23">
        <f>D8*H8</f>
        <v>9.289609874999998</v>
      </c>
      <c r="J8" s="24">
        <f>rate_rebar</f>
        <v>74.0</v>
      </c>
      <c r="K8" s="21">
        <f>I8*J8</f>
        <v>687.4311307499999</v>
      </c>
      <c r="L8" s="20" t="n">
        <v>0</v>
      </c>
      <c r="M8" s="21">
        <f>D8*L8</f>
        <v>0.0</v>
      </c>
      <c r="N8" s="25">
        <f>G8+K8+M8</f>
        <v>1864.1150482499997</v>
      </c>
    </row>
    <row r="9">
      <c r="A9" s="8" t="n">
        <v>5</v>
      </c>
      <c r="B9" s="8" t="inlineStr">
        <is>
          <t>Stem walls</t>
        </is>
      </c>
      <c r="C9" s="11" t="inlineStr">
        <is>
          <t>Stem wall concrete, 3,000 psi, 8" x 3'-0"</t>
        </is>
      </c>
      <c r="D9" s="19">
        <f>'Quantity Takeoff'!H10</f>
        <v>24.68148148148148</v>
      </c>
      <c r="E9" s="8" t="inlineStr">
        <is>
          <t>CY</t>
        </is>
      </c>
      <c r="F9" s="20" t="n">
        <v>165</v>
      </c>
      <c r="G9" s="21">
        <f>D9*F9</f>
        <v>4072.4444444444443</v>
      </c>
      <c r="H9" s="22" t="n">
        <v>0.6</v>
      </c>
      <c r="I9" s="23">
        <f>D9*H9</f>
        <v>14.808888888888887</v>
      </c>
      <c r="J9" s="24">
        <f>rate_conc</f>
        <v>68.0</v>
      </c>
      <c r="K9" s="21">
        <f>I9*J9</f>
        <v>1007.0044444444443</v>
      </c>
      <c r="L9" s="20" t="n">
        <v>0</v>
      </c>
      <c r="M9" s="21">
        <f>D9*L9</f>
        <v>0.0</v>
      </c>
      <c r="N9" s="25">
        <f>G9+K9+M9</f>
        <v>5079.448888888888</v>
      </c>
    </row>
    <row r="10">
      <c r="A10" s="8" t="n">
        <v>6</v>
      </c>
      <c r="B10" s="8" t="inlineStr">
        <is>
          <t>Stem walls</t>
        </is>
      </c>
      <c r="C10" s="11" t="inlineStr">
        <is>
          <t>Stem wall forms, both faces</t>
        </is>
      </c>
      <c r="D10" s="19">
        <f>'Quantity Takeoff'!H11</f>
        <v>1904.0</v>
      </c>
      <c r="E10" s="8" t="inlineStr">
        <is>
          <t>SFCA</t>
        </is>
      </c>
      <c r="F10" s="20" t="n">
        <v>1.6</v>
      </c>
      <c r="G10" s="21">
        <f>D10*F10</f>
        <v>3046.4</v>
      </c>
      <c r="H10" s="22" t="n">
        <v>0.1</v>
      </c>
      <c r="I10" s="23">
        <f>D10*H10</f>
        <v>190.4</v>
      </c>
      <c r="J10" s="24">
        <f>rate_conc</f>
        <v>68.0</v>
      </c>
      <c r="K10" s="21">
        <f>I10*J10</f>
        <v>12947.2</v>
      </c>
      <c r="L10" s="20" t="n">
        <v>0</v>
      </c>
      <c r="M10" s="21">
        <f>D10*L10</f>
        <v>0.0</v>
      </c>
      <c r="N10" s="25">
        <f>G10+K10+M10</f>
        <v>15993.6</v>
      </c>
    </row>
    <row r="11">
      <c r="A11" s="8" t="n">
        <v>10</v>
      </c>
      <c r="B11" s="8" t="inlineStr">
        <is>
          <t>Stem walls</t>
        </is>
      </c>
      <c r="C11" s="11" t="inlineStr">
        <is>
          <t>Stem wall rebar #5 (weight)</t>
        </is>
      </c>
      <c r="D11" s="19">
        <f>'Quantity Takeoff'!H15</f>
        <v>1194.6261250000002</v>
      </c>
      <c r="E11" s="8" t="inlineStr">
        <is>
          <t>LB</t>
        </is>
      </c>
      <c r="F11" s="20" t="n">
        <v>0.95</v>
      </c>
      <c r="G11" s="21">
        <f>D11*F11</f>
        <v>1134.8948187500002</v>
      </c>
      <c r="H11" s="22" t="n">
        <v>0.007</v>
      </c>
      <c r="I11" s="23">
        <f>D11*H11</f>
        <v>8.362382875000002</v>
      </c>
      <c r="J11" s="24">
        <f>rate_rebar</f>
        <v>74.0</v>
      </c>
      <c r="K11" s="21">
        <f>I11*J11</f>
        <v>618.8163327500001</v>
      </c>
      <c r="L11" s="20" t="n">
        <v>0</v>
      </c>
      <c r="M11" s="21">
        <f>D11*L11</f>
        <v>0.0</v>
      </c>
      <c r="N11" s="25">
        <f>G11+K11+M11</f>
        <v>1753.7111515000004</v>
      </c>
    </row>
    <row r="12">
      <c r="A12" s="8" t="n">
        <v>11</v>
      </c>
      <c r="B12" s="8" t="inlineStr">
        <is>
          <t>Stem walls</t>
        </is>
      </c>
      <c r="C12" s="11" t="inlineStr">
        <is>
          <t>Stem wall rebar #4 (weight)</t>
        </is>
      </c>
      <c r="D12" s="19">
        <f>'Quantity Takeoff'!H16</f>
        <v>743.484</v>
      </c>
      <c r="E12" s="8" t="inlineStr">
        <is>
          <t>LB</t>
        </is>
      </c>
      <c r="F12" s="20" t="n">
        <v>0.95</v>
      </c>
      <c r="G12" s="21">
        <f>D12*F12</f>
        <v>706.3098</v>
      </c>
      <c r="H12" s="22" t="n">
        <v>0.007</v>
      </c>
      <c r="I12" s="23">
        <f>D12*H12</f>
        <v>5.204388000000001</v>
      </c>
      <c r="J12" s="24">
        <f>rate_rebar</f>
        <v>74.0</v>
      </c>
      <c r="K12" s="21">
        <f>I12*J12</f>
        <v>385.12471200000005</v>
      </c>
      <c r="L12" s="20" t="n">
        <v>0</v>
      </c>
      <c r="M12" s="21">
        <f>D12*L12</f>
        <v>0.0</v>
      </c>
      <c r="N12" s="25">
        <f>G12+K12+M12</f>
        <v>1091.434512</v>
      </c>
    </row>
    <row r="13">
      <c r="A13" s="8" t="n">
        <v>12</v>
      </c>
      <c r="B13" s="8" t="inlineStr">
        <is>
          <t>Spread footings</t>
        </is>
      </c>
      <c r="C13" s="11" t="inlineStr">
        <is>
          <t>Spread footing F1 concrete, 6'-0" x 6'-0" x 18"</t>
        </is>
      </c>
      <c r="D13" s="19">
        <f>'Quantity Takeoff'!H17</f>
        <v>16.8</v>
      </c>
      <c r="E13" s="8" t="inlineStr">
        <is>
          <t>CY</t>
        </is>
      </c>
      <c r="F13" s="20" t="n">
        <v>165</v>
      </c>
      <c r="G13" s="21">
        <f>D13*F13</f>
        <v>2772.0</v>
      </c>
      <c r="H13" s="22" t="n">
        <v>0.45</v>
      </c>
      <c r="I13" s="23">
        <f>D13*H13</f>
        <v>7.5600000000000005</v>
      </c>
      <c r="J13" s="24">
        <f>rate_conc</f>
        <v>68.0</v>
      </c>
      <c r="K13" s="21">
        <f>I13*J13</f>
        <v>514.08</v>
      </c>
      <c r="L13" s="20" t="n">
        <v>0</v>
      </c>
      <c r="M13" s="21">
        <f>D13*L13</f>
        <v>0.0</v>
      </c>
      <c r="N13" s="25">
        <f>G13+K13+M13</f>
        <v>3286.08</v>
      </c>
    </row>
    <row r="14">
      <c r="A14" s="8" t="n">
        <v>13</v>
      </c>
      <c r="B14" s="8" t="inlineStr">
        <is>
          <t>Spread footings</t>
        </is>
      </c>
      <c r="C14" s="11" t="inlineStr">
        <is>
          <t>Spread footing forms, 4 sides</t>
        </is>
      </c>
      <c r="D14" s="19">
        <f>'Quantity Takeoff'!H18</f>
        <v>288.0</v>
      </c>
      <c r="E14" s="8" t="inlineStr">
        <is>
          <t>SFCA</t>
        </is>
      </c>
      <c r="F14" s="20" t="n">
        <v>1.4</v>
      </c>
      <c r="G14" s="21">
        <f>D14*F14</f>
        <v>403.2</v>
      </c>
      <c r="H14" s="22" t="n">
        <v>0.09</v>
      </c>
      <c r="I14" s="23">
        <f>D14*H14</f>
        <v>25.919999999999998</v>
      </c>
      <c r="J14" s="24">
        <f>rate_conc</f>
        <v>68.0</v>
      </c>
      <c r="K14" s="21">
        <f>I14*J14</f>
        <v>1762.56</v>
      </c>
      <c r="L14" s="20" t="n">
        <v>0</v>
      </c>
      <c r="M14" s="21">
        <f>D14*L14</f>
        <v>0.0</v>
      </c>
      <c r="N14" s="25">
        <f>G14+K14+M14</f>
        <v>2165.7599999999998</v>
      </c>
    </row>
    <row r="15">
      <c r="A15" s="8" t="n">
        <v>15</v>
      </c>
      <c r="B15" s="8" t="inlineStr">
        <is>
          <t>Spread footings</t>
        </is>
      </c>
      <c r="C15" s="11" t="inlineStr">
        <is>
          <t>Spread footing rebar #5 (weight)</t>
        </is>
      </c>
      <c r="D15" s="19">
        <f>'Quantity Takeoff'!H20</f>
        <v>674.6124</v>
      </c>
      <c r="E15" s="8" t="inlineStr">
        <is>
          <t>LB</t>
        </is>
      </c>
      <c r="F15" s="20" t="n">
        <v>0.95</v>
      </c>
      <c r="G15" s="21">
        <f>D15*F15</f>
        <v>640.8817799999999</v>
      </c>
      <c r="H15" s="22" t="n">
        <v>0.0075</v>
      </c>
      <c r="I15" s="23">
        <f>D15*H15</f>
        <v>5.059593</v>
      </c>
      <c r="J15" s="24">
        <f>rate_rebar</f>
        <v>74.0</v>
      </c>
      <c r="K15" s="21">
        <f>I15*J15</f>
        <v>374.409882</v>
      </c>
      <c r="L15" s="20" t="n">
        <v>0</v>
      </c>
      <c r="M15" s="21">
        <f>D15*L15</f>
        <v>0.0</v>
      </c>
      <c r="N15" s="25">
        <f>G15+K15+M15</f>
        <v>1015.2916619999999</v>
      </c>
    </row>
    <row r="16">
      <c r="A16" s="8" t="n">
        <v>16</v>
      </c>
      <c r="B16" s="8" t="inlineStr">
        <is>
          <t>Slab on grade</t>
        </is>
      </c>
      <c r="C16" s="11" t="inlineStr">
        <is>
          <t>Granular base 4", placed &amp; compacted</t>
        </is>
      </c>
      <c r="D16" s="19">
        <f>'Quantity Takeoff'!H21</f>
        <v>82.18161865569272</v>
      </c>
      <c r="E16" s="8" t="inlineStr">
        <is>
          <t>CY</t>
        </is>
      </c>
      <c r="F16" s="20" t="n">
        <v>38</v>
      </c>
      <c r="G16" s="21">
        <f>D16*F16</f>
        <v>3122.901508916323</v>
      </c>
      <c r="H16" s="22" t="n">
        <v>0.35</v>
      </c>
      <c r="I16" s="23">
        <f>D16*H16</f>
        <v>28.763566529492447</v>
      </c>
      <c r="J16" s="24">
        <f>rate_conc</f>
        <v>68.0</v>
      </c>
      <c r="K16" s="21">
        <f>I16*J16</f>
        <v>1955.9225240054864</v>
      </c>
      <c r="L16" s="20" t="n">
        <v>6</v>
      </c>
      <c r="M16" s="21">
        <f>D16*L16</f>
        <v>493.0897119341563</v>
      </c>
      <c r="N16" s="25">
        <f>G16+K16+M16</f>
        <v>5571.913744855966</v>
      </c>
    </row>
    <row r="17">
      <c r="A17" s="8" t="n">
        <v>17</v>
      </c>
      <c r="B17" s="8" t="inlineStr">
        <is>
          <t>Slab on grade</t>
        </is>
      </c>
      <c r="C17" s="11" t="inlineStr">
        <is>
          <t>Vapor retarder 15 mil, taped laps</t>
        </is>
      </c>
      <c r="D17" s="19">
        <f>'Quantity Takeoff'!H22</f>
        <v>6367.288888888889</v>
      </c>
      <c r="E17" s="8" t="inlineStr">
        <is>
          <t>SF</t>
        </is>
      </c>
      <c r="F17" s="20" t="n">
        <v>0.22</v>
      </c>
      <c r="G17" s="21">
        <f>D17*F17</f>
        <v>1400.8035555555557</v>
      </c>
      <c r="H17" s="22" t="n">
        <v>0.002</v>
      </c>
      <c r="I17" s="23">
        <f>D17*H17</f>
        <v>12.734577777777778</v>
      </c>
      <c r="J17" s="24">
        <f>rate_conc</f>
        <v>68.0</v>
      </c>
      <c r="K17" s="21">
        <f>I17*J17</f>
        <v>865.9512888888889</v>
      </c>
      <c r="L17" s="20" t="n">
        <v>0</v>
      </c>
      <c r="M17" s="21">
        <f>D17*L17</f>
        <v>0.0</v>
      </c>
      <c r="N17" s="25">
        <f>G17+K17+M17</f>
        <v>2266.7548444444446</v>
      </c>
    </row>
    <row r="18">
      <c r="A18" s="8" t="n">
        <v>19</v>
      </c>
      <c r="B18" s="8" t="inlineStr">
        <is>
          <t>Slab on grade</t>
        </is>
      </c>
      <c r="C18" s="11" t="inlineStr">
        <is>
          <t>Slab rebar #4 (weight)</t>
        </is>
      </c>
      <c r="D18" s="19">
        <f>'Quantity Takeoff'!H24</f>
        <v>6014.8369382716055</v>
      </c>
      <c r="E18" s="8" t="inlineStr">
        <is>
          <t>LB</t>
        </is>
      </c>
      <c r="F18" s="20" t="n">
        <v>0.95</v>
      </c>
      <c r="G18" s="21">
        <f>D18*F18</f>
        <v>5714.095091358025</v>
      </c>
      <c r="H18" s="22" t="n">
        <v>0.006</v>
      </c>
      <c r="I18" s="23">
        <f>D18*H18</f>
        <v>36.089021629629634</v>
      </c>
      <c r="J18" s="24">
        <f>rate_rebar</f>
        <v>74.0</v>
      </c>
      <c r="K18" s="21">
        <f>I18*J18</f>
        <v>2670.587600592593</v>
      </c>
      <c r="L18" s="20" t="n">
        <v>0</v>
      </c>
      <c r="M18" s="21">
        <f>D18*L18</f>
        <v>0.0</v>
      </c>
      <c r="N18" s="25">
        <f>G18+K18+M18</f>
        <v>8384.682691950617</v>
      </c>
    </row>
    <row r="19">
      <c r="A19" s="8" t="n">
        <v>20</v>
      </c>
      <c r="B19" s="8" t="inlineStr">
        <is>
          <t>Slab on grade</t>
        </is>
      </c>
      <c r="C19" s="11" t="inlineStr">
        <is>
          <t>Bar chairs / supports</t>
        </is>
      </c>
      <c r="D19" s="19">
        <f>'Quantity Takeoff'!H25</f>
        <v>362.0</v>
      </c>
      <c r="E19" s="8" t="inlineStr">
        <is>
          <t>EA</t>
        </is>
      </c>
      <c r="F19" s="20" t="n">
        <v>0.35</v>
      </c>
      <c r="G19" s="21">
        <f>D19*F19</f>
        <v>126.69999999999999</v>
      </c>
      <c r="H19" s="22" t="n">
        <v>0</v>
      </c>
      <c r="I19" s="23">
        <f>D19*H19</f>
        <v>0.0</v>
      </c>
      <c r="J19" s="24">
        <f>rate_rebar</f>
        <v>74.0</v>
      </c>
      <c r="K19" s="21">
        <f>I19*J19</f>
        <v>0.0</v>
      </c>
      <c r="L19" s="20" t="n">
        <v>0</v>
      </c>
      <c r="M19" s="21">
        <f>D19*L19</f>
        <v>0.0</v>
      </c>
      <c r="N19" s="25">
        <f>G19+K19+M19</f>
        <v>126.69999999999999</v>
      </c>
    </row>
    <row r="20">
      <c r="A20" s="8" t="n">
        <v>21</v>
      </c>
      <c r="B20" s="8" t="inlineStr">
        <is>
          <t>Slab on grade</t>
        </is>
      </c>
      <c r="C20" s="11" t="inlineStr">
        <is>
          <t>Slab concrete, 4,000 psi, 5"</t>
        </is>
      </c>
      <c r="D20" s="19">
        <f>'Quantity Takeoff'!H26</f>
        <v>95.58079561042524</v>
      </c>
      <c r="E20" s="8" t="inlineStr">
        <is>
          <t>CY</t>
        </is>
      </c>
      <c r="F20" s="20" t="n">
        <v>178</v>
      </c>
      <c r="G20" s="21">
        <f>D20*F20</f>
        <v>17013.381618655694</v>
      </c>
      <c r="H20" s="22" t="n">
        <v>0.35</v>
      </c>
      <c r="I20" s="23">
        <f>D20*H20</f>
        <v>33.453278463648836</v>
      </c>
      <c r="J20" s="24">
        <f>rate_conc</f>
        <v>68.0</v>
      </c>
      <c r="K20" s="21">
        <f>I20*J20</f>
        <v>2274.822935528121</v>
      </c>
      <c r="L20" s="20" t="n">
        <v>0</v>
      </c>
      <c r="M20" s="21">
        <f>D20*L20</f>
        <v>0.0</v>
      </c>
      <c r="N20" s="25">
        <f>G20+K20+M20</f>
        <v>19288.204554183816</v>
      </c>
    </row>
    <row r="21">
      <c r="A21" s="8" t="n">
        <v>22</v>
      </c>
      <c r="B21" s="8" t="inlineStr">
        <is>
          <t>Slab on grade</t>
        </is>
      </c>
      <c r="C21" s="11" t="inlineStr">
        <is>
          <t>Concrete pump for slab placement</t>
        </is>
      </c>
      <c r="D21" s="19">
        <f>'Quantity Takeoff'!H27</f>
        <v>1.0</v>
      </c>
      <c r="E21" s="8" t="inlineStr">
        <is>
          <t>DAY</t>
        </is>
      </c>
      <c r="F21" s="20" t="n">
        <v>0</v>
      </c>
      <c r="G21" s="21">
        <f>D21*F21</f>
        <v>0.0</v>
      </c>
      <c r="H21" s="22" t="n">
        <v>0</v>
      </c>
      <c r="I21" s="23">
        <f>D21*H21</f>
        <v>0.0</v>
      </c>
      <c r="J21" s="21" t="n">
        <v>0</v>
      </c>
      <c r="K21" s="21">
        <f>I21*J21</f>
        <v>0.0</v>
      </c>
      <c r="L21" s="20" t="n">
        <v>1850</v>
      </c>
      <c r="M21" s="21">
        <f>D21*L21</f>
        <v>1850.0</v>
      </c>
      <c r="N21" s="25">
        <f>G21+K21+M21</f>
        <v>1850.0</v>
      </c>
    </row>
    <row r="22">
      <c r="A22" s="8" t="n">
        <v>23</v>
      </c>
      <c r="B22" s="8" t="inlineStr">
        <is>
          <t>Slab on grade</t>
        </is>
      </c>
      <c r="C22" s="11" t="inlineStr">
        <is>
          <t>Machine trowel finish</t>
        </is>
      </c>
      <c r="D22" s="19">
        <f>'Quantity Takeoff'!H28</f>
        <v>5788.444444444444</v>
      </c>
      <c r="E22" s="8" t="inlineStr">
        <is>
          <t>SF</t>
        </is>
      </c>
      <c r="F22" s="20" t="n">
        <v>0.02</v>
      </c>
      <c r="G22" s="21">
        <f>D22*F22</f>
        <v>115.7688888888889</v>
      </c>
      <c r="H22" s="22" t="n">
        <v>0.014</v>
      </c>
      <c r="I22" s="23">
        <f>D22*H22</f>
        <v>81.03822222222222</v>
      </c>
      <c r="J22" s="24">
        <f>rate_finish</f>
        <v>70.0</v>
      </c>
      <c r="K22" s="21">
        <f>I22*J22</f>
        <v>5672.675555555556</v>
      </c>
      <c r="L22" s="20" t="n">
        <v>0.03</v>
      </c>
      <c r="M22" s="21">
        <f>D22*L22</f>
        <v>173.65333333333334</v>
      </c>
      <c r="N22" s="25">
        <f>G22+K22+M22</f>
        <v>5962.097777777778</v>
      </c>
    </row>
    <row r="23">
      <c r="A23" s="8" t="n">
        <v>24</v>
      </c>
      <c r="B23" s="8" t="inlineStr">
        <is>
          <t>Slab on grade</t>
        </is>
      </c>
      <c r="C23" s="11" t="inlineStr">
        <is>
          <t>Saw-cut control joints</t>
        </is>
      </c>
      <c r="D23" s="19">
        <f>'Quantity Takeoff'!H29</f>
        <v>648.0</v>
      </c>
      <c r="E23" s="8" t="inlineStr">
        <is>
          <t>LF</t>
        </is>
      </c>
      <c r="F23" s="20" t="n">
        <v>0.35</v>
      </c>
      <c r="G23" s="21">
        <f>D23*F23</f>
        <v>226.79999999999998</v>
      </c>
      <c r="H23" s="22" t="n">
        <v>0.02</v>
      </c>
      <c r="I23" s="23">
        <f>D23*H23</f>
        <v>12.96</v>
      </c>
      <c r="J23" s="24">
        <f>rate_finish</f>
        <v>70.0</v>
      </c>
      <c r="K23" s="21">
        <f>I23*J23</f>
        <v>907.2</v>
      </c>
      <c r="L23" s="20" t="n">
        <v>0.25</v>
      </c>
      <c r="M23" s="21">
        <f>D23*L23</f>
        <v>162.0</v>
      </c>
      <c r="N23" s="25">
        <f>G23+K23+M23</f>
        <v>1296.0</v>
      </c>
    </row>
    <row r="24">
      <c r="A24" s="8" t="n">
        <v>25</v>
      </c>
      <c r="B24" s="8" t="inlineStr">
        <is>
          <t>Slab on grade</t>
        </is>
      </c>
      <c r="C24" s="11" t="inlineStr">
        <is>
          <t>Perimeter isolation joint, 1/2" filler</t>
        </is>
      </c>
      <c r="D24" s="19">
        <f>'Quantity Takeoff'!H30</f>
        <v>330.40000000000003</v>
      </c>
      <c r="E24" s="8" t="inlineStr">
        <is>
          <t>LF</t>
        </is>
      </c>
      <c r="F24" s="20" t="n">
        <v>0.85</v>
      </c>
      <c r="G24" s="21">
        <f>D24*F24</f>
        <v>280.84000000000003</v>
      </c>
      <c r="H24" s="22" t="n">
        <v>0.02</v>
      </c>
      <c r="I24" s="23">
        <f>D24*H24</f>
        <v>6.6080000000000005</v>
      </c>
      <c r="J24" s="24">
        <f>rate_conc</f>
        <v>68.0</v>
      </c>
      <c r="K24" s="21">
        <f>I24*J24</f>
        <v>449.34400000000005</v>
      </c>
      <c r="L24" s="20" t="n">
        <v>0</v>
      </c>
      <c r="M24" s="21">
        <f>D24*L24</f>
        <v>0.0</v>
      </c>
      <c r="N24" s="25">
        <f>G24+K24+M24</f>
        <v>730.1840000000001</v>
      </c>
    </row>
    <row r="25">
      <c r="A25" s="8" t="n">
        <v>26</v>
      </c>
      <c r="B25" s="8" t="inlineStr">
        <is>
          <t>Slab on grade</t>
        </is>
      </c>
      <c r="C25" s="11" t="inlineStr">
        <is>
          <t>Column isolation box-outs</t>
        </is>
      </c>
      <c r="D25" s="19">
        <f>'Quantity Takeoff'!H31</f>
        <v>67.2</v>
      </c>
      <c r="E25" s="8" t="inlineStr">
        <is>
          <t>LF</t>
        </is>
      </c>
      <c r="F25" s="20" t="n">
        <v>0.85</v>
      </c>
      <c r="G25" s="21">
        <f>D25*F25</f>
        <v>57.12</v>
      </c>
      <c r="H25" s="22" t="n">
        <v>0.04</v>
      </c>
      <c r="I25" s="23">
        <f>D25*H25</f>
        <v>2.688</v>
      </c>
      <c r="J25" s="24">
        <f>rate_conc</f>
        <v>68.0</v>
      </c>
      <c r="K25" s="21">
        <f>I25*J25</f>
        <v>182.78400000000002</v>
      </c>
      <c r="L25" s="20" t="n">
        <v>0</v>
      </c>
      <c r="M25" s="21">
        <f>D25*L25</f>
        <v>0.0</v>
      </c>
      <c r="N25" s="25">
        <f>G25+K25+M25</f>
        <v>239.90400000000002</v>
      </c>
    </row>
    <row r="26">
      <c r="A26" s="8" t="n">
        <v>27</v>
      </c>
      <c r="B26" s="8" t="inlineStr">
        <is>
          <t>Slab on grade</t>
        </is>
      </c>
      <c r="C26" s="11" t="inlineStr">
        <is>
          <t>Cure &amp; seal</t>
        </is>
      </c>
      <c r="D26" s="19">
        <f>'Quantity Takeoff'!H32</f>
        <v>6077.866666666667</v>
      </c>
      <c r="E26" s="8" t="inlineStr">
        <is>
          <t>SF</t>
        </is>
      </c>
      <c r="F26" s="20" t="n">
        <v>0.12</v>
      </c>
      <c r="G26" s="21">
        <f>D26*F26</f>
        <v>729.3439999999999</v>
      </c>
      <c r="H26" s="22" t="n">
        <v>0.002</v>
      </c>
      <c r="I26" s="23">
        <f>D26*H26</f>
        <v>12.155733333333334</v>
      </c>
      <c r="J26" s="24">
        <f>rate_finish</f>
        <v>70.0</v>
      </c>
      <c r="K26" s="21">
        <f>I26*J26</f>
        <v>850.9013333333334</v>
      </c>
      <c r="L26" s="20" t="n">
        <v>0</v>
      </c>
      <c r="M26" s="21">
        <f>D26*L26</f>
        <v>0.0</v>
      </c>
      <c r="N26" s="25">
        <f>G26+K26+M26</f>
        <v>1580.2453333333333</v>
      </c>
    </row>
    <row r="27">
      <c r="C27" s="26" t="inlineStr">
        <is>
          <t>Direct cost totals</t>
        </is>
      </c>
      <c r="G27" s="27">
        <f>SUM(G6:G26)</f>
        <v>47618.16942406893</v>
      </c>
      <c r="I27" s="28">
        <f>SUM(I6:I26)</f>
        <v>547.6952625949931</v>
      </c>
      <c r="K27" s="27">
        <f>SUM(K6:K26)</f>
        <v>37839.61573984842</v>
      </c>
      <c r="M27" s="27">
        <f>SUM(M6:M26)</f>
        <v>2678.74304526749</v>
      </c>
      <c r="N27" s="27">
        <f>SUM(N6:N26)</f>
        <v>88136.52820918483</v>
      </c>
    </row>
  </sheetData>
  <mergeCells count="1">
    <mergeCell ref="A3:N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15" customWidth="1" min="3" max="3"/>
    <col width="11" customWidth="1" min="4" max="4"/>
    <col width="15" customWidth="1" min="5" max="5"/>
    <col width="14" customWidth="1" min="6" max="6"/>
    <col width="16" customWidth="1" min="7" max="7"/>
  </cols>
  <sheetData>
    <row r="1">
      <c r="A1" s="1" t="inlineStr">
        <is>
          <t>F&amp;K Estimatings</t>
        </is>
      </c>
    </row>
    <row r="2">
      <c r="A2" s="2" t="inlineStr">
        <is>
          <t>Concrete Takeoff Sample — Summary</t>
        </is>
      </c>
    </row>
    <row r="3" ht="36" customHeight="1">
      <c r="A3" s="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  <row r="5" ht="26" customHeight="1">
      <c r="A5" s="7" t="inlineStr">
        <is>
          <t>Group</t>
        </is>
      </c>
      <c r="B5" s="7" t="inlineStr">
        <is>
          <t>Line items</t>
        </is>
      </c>
      <c r="C5" s="7" t="inlineStr">
        <is>
          <t>Material $</t>
        </is>
      </c>
      <c r="D5" s="7" t="inlineStr">
        <is>
          <t>Labor hrs</t>
        </is>
      </c>
      <c r="E5" s="7" t="inlineStr">
        <is>
          <t>Labor $</t>
        </is>
      </c>
      <c r="F5" s="7" t="inlineStr">
        <is>
          <t>Equipment $</t>
        </is>
      </c>
      <c r="G5" s="7" t="inlineStr">
        <is>
          <t>Total $</t>
        </is>
      </c>
    </row>
    <row r="6">
      <c r="A6" s="8" t="inlineStr">
        <is>
          <t>Continuous footings</t>
        </is>
      </c>
      <c r="B6" s="8">
        <f>COUNTIF(Pricing!$B$6:$B$26,A6)</f>
        <v>3.0</v>
      </c>
      <c r="C6" s="21">
        <f>SUMIF(Pricing!$B$6:$B$26,$A6,Pricing!$G$6:$G$26)</f>
        <v>6054.2839175</v>
      </c>
      <c r="D6" s="23">
        <f>SUMIF(Pricing!$B$6:$B$26,$A6,Pricing!$I$6:$I$26)</f>
        <v>63.889609875000005</v>
      </c>
      <c r="E6" s="21">
        <f>SUMIF(Pricing!$B$6:$B$26,$A6,Pricing!$K$6:$K$26)</f>
        <v>4400.23113075</v>
      </c>
      <c r="F6" s="21">
        <f>SUMIF(Pricing!$B$6:$B$26,$A6,Pricing!$M$6:$M$26)</f>
        <v>0.0</v>
      </c>
      <c r="G6" s="21">
        <f>SUMIF(Pricing!$B$6:$B$26,$A6,Pricing!$N$6:$N$26)</f>
        <v>10454.51504825</v>
      </c>
    </row>
    <row r="7">
      <c r="A7" s="8" t="inlineStr">
        <is>
          <t>Stem walls</t>
        </is>
      </c>
      <c r="B7" s="8">
        <f>COUNTIF(Pricing!$B$6:$B$26,A7)</f>
        <v>4.0</v>
      </c>
      <c r="C7" s="21">
        <f>SUMIF(Pricing!$B$6:$B$26,$A7,Pricing!$G$6:$G$26)</f>
        <v>8960.049063194445</v>
      </c>
      <c r="D7" s="23">
        <f>SUMIF(Pricing!$B$6:$B$26,$A7,Pricing!$I$6:$I$26)</f>
        <v>218.77565976388888</v>
      </c>
      <c r="E7" s="21">
        <f>SUMIF(Pricing!$B$6:$B$26,$A7,Pricing!$K$6:$K$26)</f>
        <v>14958.145489194445</v>
      </c>
      <c r="F7" s="21">
        <f>SUMIF(Pricing!$B$6:$B$26,$A7,Pricing!$M$6:$M$26)</f>
        <v>0.0</v>
      </c>
      <c r="G7" s="21">
        <f>SUMIF(Pricing!$B$6:$B$26,$A7,Pricing!$N$6:$N$26)</f>
        <v>23918.19455238889</v>
      </c>
    </row>
    <row r="8">
      <c r="A8" s="8" t="inlineStr">
        <is>
          <t>Spread footings</t>
        </is>
      </c>
      <c r="B8" s="8">
        <f>COUNTIF(Pricing!$B$6:$B$26,A8)</f>
        <v>3.0</v>
      </c>
      <c r="C8" s="21">
        <f>SUMIF(Pricing!$B$6:$B$26,$A8,Pricing!$G$6:$G$26)</f>
        <v>3816.08178</v>
      </c>
      <c r="D8" s="23">
        <f>SUMIF(Pricing!$B$6:$B$26,$A8,Pricing!$I$6:$I$26)</f>
        <v>38.539592999999996</v>
      </c>
      <c r="E8" s="21">
        <f>SUMIF(Pricing!$B$6:$B$26,$A8,Pricing!$K$6:$K$26)</f>
        <v>2651.049882</v>
      </c>
      <c r="F8" s="21">
        <f>SUMIF(Pricing!$B$6:$B$26,$A8,Pricing!$M$6:$M$26)</f>
        <v>0.0</v>
      </c>
      <c r="G8" s="21">
        <f>SUMIF(Pricing!$B$6:$B$26,$A8,Pricing!$N$6:$N$26)</f>
        <v>6467.131662</v>
      </c>
    </row>
    <row r="9">
      <c r="A9" s="8" t="inlineStr">
        <is>
          <t>Slab on grade</t>
        </is>
      </c>
      <c r="B9" s="8">
        <f>COUNTIF(Pricing!$B$6:$B$26,A9)</f>
        <v>11.0</v>
      </c>
      <c r="C9" s="21">
        <f>SUMIF(Pricing!$B$6:$B$26,$A9,Pricing!$G$6:$G$26)</f>
        <v>28787.754663374486</v>
      </c>
      <c r="D9" s="23">
        <f>SUMIF(Pricing!$B$6:$B$26,$A9,Pricing!$I$6:$I$26)</f>
        <v>226.49039995610426</v>
      </c>
      <c r="E9" s="21">
        <f>SUMIF(Pricing!$B$6:$B$26,$A9,Pricing!$K$6:$K$26)</f>
        <v>15830.189237903978</v>
      </c>
      <c r="F9" s="21">
        <f>SUMIF(Pricing!$B$6:$B$26,$A9,Pricing!$M$6:$M$26)</f>
        <v>2678.74304526749</v>
      </c>
      <c r="G9" s="21">
        <f>SUMIF(Pricing!$B$6:$B$26,$A9,Pricing!$N$6:$N$26)</f>
        <v>47296.68694654595</v>
      </c>
    </row>
    <row r="10">
      <c r="A10" s="26" t="inlineStr">
        <is>
          <t>Direct cost subtotal</t>
        </is>
      </c>
      <c r="C10" s="27">
        <f>SUM(C6:C9)</f>
        <v>47618.16942406893</v>
      </c>
      <c r="D10" s="28">
        <f>SUM(D6:D9)</f>
        <v>547.6952625949931</v>
      </c>
      <c r="E10" s="27">
        <f>SUM(E6:E9)</f>
        <v>37839.61573984842</v>
      </c>
      <c r="F10" s="27">
        <f>SUM(F6:F9)</f>
        <v>2678.74304526749</v>
      </c>
      <c r="G10" s="27">
        <f>SUM(G6:G9)</f>
        <v>88136.52820918483</v>
      </c>
    </row>
    <row r="11">
      <c r="A11" s="29" t="inlineStr">
        <is>
          <t>Markups (percentages are stated assumptions — see Cover &amp; Basis)</t>
        </is>
      </c>
    </row>
    <row r="12">
      <c r="A12" s="5" t="inlineStr">
        <is>
          <t>Sales tax on material (7.0% of material)</t>
        </is>
      </c>
      <c r="F12" s="30">
        <f>tax_rate</f>
        <v>0.07</v>
      </c>
      <c r="G12" s="31">
        <f>C10*F12</f>
        <v>3333.2718596848254</v>
      </c>
    </row>
    <row r="13">
      <c r="A13" s="14" t="inlineStr">
        <is>
          <t>Running subtotal</t>
        </is>
      </c>
      <c r="G13" s="31">
        <f>G10+G12</f>
        <v>91469.80006886966</v>
      </c>
    </row>
    <row r="14">
      <c r="A14" s="5" t="inlineStr">
        <is>
          <t>Overhead (10.0% of running subtotal)</t>
        </is>
      </c>
      <c r="F14" s="30">
        <f>oh_pct</f>
        <v>0.1</v>
      </c>
      <c r="G14" s="31">
        <f>G13*F14</f>
        <v>9146.980006886966</v>
      </c>
    </row>
    <row r="15">
      <c r="A15" s="14" t="inlineStr">
        <is>
          <t>Running subtotal</t>
        </is>
      </c>
      <c r="G15" s="31">
        <f>G13+G14</f>
        <v>100616.78007575663</v>
      </c>
    </row>
    <row r="16">
      <c r="A16" s="5" t="inlineStr">
        <is>
          <t>Profit (8.0% of running subtotal)</t>
        </is>
      </c>
      <c r="F16" s="30">
        <f>profit_pct</f>
        <v>0.08</v>
      </c>
      <c r="G16" s="31">
        <f>G15*F16</f>
        <v>8049.34240606053</v>
      </c>
    </row>
    <row r="17">
      <c r="A17" s="14" t="inlineStr">
        <is>
          <t>Running subtotal</t>
        </is>
      </c>
      <c r="G17" s="31">
        <f>G15+G16</f>
        <v>108666.12248181716</v>
      </c>
    </row>
    <row r="18">
      <c r="A18" s="26" t="inlineStr">
        <is>
          <t>SAMPLE TOTAL (illustrative)</t>
        </is>
      </c>
      <c r="G18" s="32">
        <f>G17</f>
        <v>108666.12248181716</v>
      </c>
    </row>
    <row r="19">
      <c r="A19" s="5" t="inlineStr">
        <is>
          <t>Cost per SF</t>
        </is>
      </c>
      <c r="G19" s="31">
        <f>G18/bldg_area</f>
        <v>18.111020413636194</v>
      </c>
    </row>
    <row r="21" ht="40" customHeight="1">
      <c r="A21" s="33" t="inlineStr">
        <is>
          <t>Sample deliverable — prepared on a representative project to show format and level of detail. Not a client project. Quantities are computed from the sample project dimensions stated below; unit costs are illustrative (pricing basis: September 2026, national average, not a quote).</t>
        </is>
      </c>
    </row>
  </sheetData>
  <mergeCells count="2">
    <mergeCell ref="A3:G3"/>
    <mergeCell ref="A21:G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2026-09-26T09:13:06Z</dcterms:created>
  <dcterms:modified xsi:type="dcterms:W3CDTF">2026-09-26T09:13:06Z</dcterms:modified>
</cp:coreProperties>
</file>